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3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4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5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auricio\Dropbox\8 PROJETO LIVRO\3. Finanças\Livro 2025\"/>
    </mc:Choice>
  </mc:AlternateContent>
  <xr:revisionPtr revIDLastSave="0" documentId="8_{BE467470-9908-49FB-9EE1-C8645D30DF03}" xr6:coauthVersionLast="47" xr6:coauthVersionMax="47" xr10:uidLastSave="{00000000-0000-0000-0000-000000000000}"/>
  <bookViews>
    <workbookView xWindow="-90" yWindow="-90" windowWidth="19380" windowHeight="11460" tabRatio="768" xr2:uid="{7D80629A-4E37-7E40-A5AA-AFFA2110B93E}"/>
  </bookViews>
  <sheets>
    <sheet name="Indice" sheetId="258" r:id="rId1"/>
    <sheet name="Cap 2 - Droganet" sheetId="229" r:id="rId2"/>
    <sheet name="Cap 2 - Topázio" sheetId="236" r:id="rId3"/>
    <sheet name="Cap 4  - M&amp;M" sheetId="240" r:id="rId4"/>
    <sheet name="Cap 5 - Elektra" sheetId="37" r:id="rId5"/>
    <sheet name="Cap 5 - WACC" sheetId="245" r:id="rId6"/>
    <sheet name="Cap 6 - Kilimanjaro" sheetId="246" r:id="rId7"/>
    <sheet name="Cap 6 - Districom" sheetId="248" r:id="rId8"/>
    <sheet name="Cap 7 - Polaris" sheetId="256" r:id="rId9"/>
    <sheet name="Cap 8 -Moinho" sheetId="226" r:id="rId10"/>
    <sheet name="Cap 9 - Icaraí" sheetId="188" r:id="rId11"/>
    <sheet name="Cap 10 Vegas 1" sheetId="93" r:id="rId12"/>
    <sheet name="Cap 10 Vegas 2" sheetId="94" r:id="rId13"/>
    <sheet name="Cap 10 Vegas 3" sheetId="95" r:id="rId14"/>
    <sheet name="Cap 10 Vegas 4" sheetId="91" r:id="rId15"/>
    <sheet name="Cap 10 Vegas 5" sheetId="96" r:id="rId16"/>
    <sheet name="Cap 10 Vegas 6" sheetId="132" r:id="rId17"/>
    <sheet name="Cap 10 Vegas 7" sheetId="131" r:id="rId18"/>
    <sheet name="Cap 10 Vegas 8" sheetId="134" r:id="rId19"/>
    <sheet name="Cap 10 Vegas 9" sheetId="135" r:id="rId20"/>
    <sheet name="Cap 10 Vegas 10" sheetId="129" r:id="rId21"/>
    <sheet name="Cap 10 Vegas 11" sheetId="137" r:id="rId22"/>
    <sheet name="Cap 10 Caso Quatá 1" sheetId="208" r:id="rId23"/>
    <sheet name="Cap 10 Caso Quatá 2" sheetId="209" r:id="rId24"/>
    <sheet name="Cap 10 Caso Quatá 3" sheetId="210" r:id="rId25"/>
    <sheet name="Cap 10 Caso Quatá 4" sheetId="211" r:id="rId26"/>
  </sheets>
  <definedNames>
    <definedName name="\M" localSheetId="2">#REF!</definedName>
    <definedName name="\M" localSheetId="5">#REF!</definedName>
    <definedName name="\M" localSheetId="7">#REF!</definedName>
    <definedName name="\M" localSheetId="8">#REF!</definedName>
    <definedName name="\M">#REF!</definedName>
    <definedName name="__as1000" localSheetId="3">'Cap 4  - M&amp;M'!__as1000</definedName>
    <definedName name="__as1000" localSheetId="5">'Cap 5 - WACC'!__as1000</definedName>
    <definedName name="__as1000" localSheetId="7">'Cap 6 - Districom'!__as1000</definedName>
    <definedName name="__as1000" localSheetId="8">'Cap 7 - Polaris'!__as1000</definedName>
    <definedName name="__as1000">#REF!</definedName>
    <definedName name="__as2" localSheetId="3">'Cap 4  - M&amp;M'!__as2</definedName>
    <definedName name="__as2" localSheetId="5">'Cap 5 - WACC'!__as2</definedName>
    <definedName name="__as2" localSheetId="7">'Cap 6 - Districom'!__as2</definedName>
    <definedName name="__as2" localSheetId="8">'Cap 7 - Polaris'!__as2</definedName>
    <definedName name="__as2">#REF!</definedName>
    <definedName name="__asd2" localSheetId="3">'Cap 4  - M&amp;M'!__asd2</definedName>
    <definedName name="__asd2" localSheetId="5">'Cap 5 - WACC'!__asd2</definedName>
    <definedName name="__asd2" localSheetId="7">'Cap 6 - Districom'!__asd2</definedName>
    <definedName name="__asd2" localSheetId="8">'Cap 7 - Polaris'!__asd2</definedName>
    <definedName name="__asd2">#REF!</definedName>
    <definedName name="__b2" localSheetId="3">'Cap 4  - M&amp;M'!__b2</definedName>
    <definedName name="__b2" localSheetId="5">'Cap 5 - WACC'!__b2</definedName>
    <definedName name="__b2" localSheetId="7">'Cap 6 - Districom'!__b2</definedName>
    <definedName name="__b2" localSheetId="8">'Cap 7 - Polaris'!__b2</definedName>
    <definedName name="__b2">#REF!</definedName>
    <definedName name="__b21" localSheetId="3">'Cap 4  - M&amp;M'!__b21</definedName>
    <definedName name="__b21" localSheetId="5">'Cap 5 - WACC'!__b21</definedName>
    <definedName name="__b21" localSheetId="7">'Cap 6 - Districom'!__b21</definedName>
    <definedName name="__b21" localSheetId="8">'Cap 7 - Polaris'!__b21</definedName>
    <definedName name="__b21">#REF!</definedName>
    <definedName name="_1_0pf1" localSheetId="2">#REF!</definedName>
    <definedName name="_1_0pf1" localSheetId="3">#REF!</definedName>
    <definedName name="_1_0pf1" localSheetId="5">#REF!</definedName>
    <definedName name="_1_0pf1" localSheetId="7">#REF!</definedName>
    <definedName name="_1_0pf1" localSheetId="8">#REF!</definedName>
    <definedName name="_1_0pf1">#REF!</definedName>
    <definedName name="_2_0BL" localSheetId="2">#REF!</definedName>
    <definedName name="_2_0BL" localSheetId="3">#REF!</definedName>
    <definedName name="_2_0BL" localSheetId="5">#REF!</definedName>
    <definedName name="_2_0BL" localSheetId="7">#REF!</definedName>
    <definedName name="_2_0BL" localSheetId="8">#REF!</definedName>
    <definedName name="_2_0BL">#REF!</definedName>
    <definedName name="_3ALL" localSheetId="2">#REF!</definedName>
    <definedName name="_3ALL" localSheetId="3">#REF!</definedName>
    <definedName name="_3ALL" localSheetId="5">#REF!</definedName>
    <definedName name="_3ALL" localSheetId="7">#REF!</definedName>
    <definedName name="_3ALL" localSheetId="8">#REF!</definedName>
    <definedName name="_3ALL">#REF!</definedName>
    <definedName name="_4_0i" localSheetId="2">#REF!</definedName>
    <definedName name="_4_0i" localSheetId="3">#REF!</definedName>
    <definedName name="_4_0i" localSheetId="5">#REF!</definedName>
    <definedName name="_4_0i" localSheetId="7">#REF!</definedName>
    <definedName name="_4_0i" localSheetId="8">#REF!</definedName>
    <definedName name="_4_0i">#REF!</definedName>
    <definedName name="_5r_" localSheetId="2">#REF!</definedName>
    <definedName name="_5r_" localSheetId="3">#REF!</definedName>
    <definedName name="_5r_" localSheetId="5">#REF!</definedName>
    <definedName name="_5r_" localSheetId="7">#REF!</definedName>
    <definedName name="_5r_" localSheetId="8">#REF!</definedName>
    <definedName name="_5r_">#REF!</definedName>
    <definedName name="_b1" localSheetId="2">#REF!</definedName>
    <definedName name="_b1" localSheetId="3">#REF!</definedName>
    <definedName name="_b1" localSheetId="5">#REF!</definedName>
    <definedName name="_b1" localSheetId="7">#REF!</definedName>
    <definedName name="_b1" localSheetId="8">#REF!</definedName>
    <definedName name="_b1">#REF!</definedName>
    <definedName name="_b3" localSheetId="2">#REF!</definedName>
    <definedName name="_b3" localSheetId="3">#REF!</definedName>
    <definedName name="_b3" localSheetId="5">#REF!</definedName>
    <definedName name="_b3" localSheetId="7">#REF!</definedName>
    <definedName name="_b3" localSheetId="8">#REF!</definedName>
    <definedName name="_b3">#REF!</definedName>
    <definedName name="_xlnm._FilterDatabase" localSheetId="8" hidden="1">'Cap 7 - Polaris'!$A$4:$U$20</definedName>
    <definedName name="_j2" localSheetId="2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_j2" localSheetId="3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_j2" localSheetId="5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_j2" localSheetId="7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_j2" localSheetId="8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_j2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a" localSheetId="2">{"IBESD","WWP","I22","N","0","0","H"}</definedName>
    <definedName name="a" localSheetId="3">{"IBESD","WWP","I22","N","0","0","H"}</definedName>
    <definedName name="a" localSheetId="5">{"IBESD","WWP","I22","N","0","0","H"}</definedName>
    <definedName name="a" localSheetId="7">{"IBESD","WWP","I22","N","0","0","H"}</definedName>
    <definedName name="a" localSheetId="8">{"IBESD","WWP","I22","N","0","0","H"}</definedName>
    <definedName name="a">{"IBESD","WWP","I22","N","0","0","H"}</definedName>
    <definedName name="aa" localSheetId="3">'Cap 4  - M&amp;M'!aa</definedName>
    <definedName name="aa" localSheetId="5">'Cap 5 - WACC'!aa</definedName>
    <definedName name="aa" localSheetId="7">'Cap 6 - Districom'!aa</definedName>
    <definedName name="aa" localSheetId="8">'Cap 7 - Polaris'!aa</definedName>
    <definedName name="aa">#REF!</definedName>
    <definedName name="aaaaaa" localSheetId="3">'Cap 4  - M&amp;M'!aaaaaa</definedName>
    <definedName name="aaaaaa" localSheetId="5">'Cap 5 - WACC'!aaaaaa</definedName>
    <definedName name="aaaaaa" localSheetId="7">'Cap 6 - Districom'!aaaaaa</definedName>
    <definedName name="aaaaaa" localSheetId="8">'Cap 7 - Polaris'!aaaaaa</definedName>
    <definedName name="aaaaaa">#REF!</definedName>
    <definedName name="aaaaaaaaaaaaaaaaaa" localSheetId="3">'Cap 4  - M&amp;M'!aaaaaaaaaaaaaaaaaa</definedName>
    <definedName name="aaaaaaaaaaaaaaaaaa" localSheetId="5">'Cap 5 - WACC'!aaaaaaaaaaaaaaaaaa</definedName>
    <definedName name="aaaaaaaaaaaaaaaaaa" localSheetId="7">'Cap 6 - Districom'!aaaaaaaaaaaaaaaaaa</definedName>
    <definedName name="aaaaaaaaaaaaaaaaaa" localSheetId="8">'Cap 7 - Polaris'!aaaaaaaaaaaaaaaaaa</definedName>
    <definedName name="aaaaaaaaaaaaaaaaaa">#REF!</definedName>
    <definedName name="aaererc" localSheetId="3">'Cap 4  - M&amp;M'!aaererc</definedName>
    <definedName name="aaererc" localSheetId="5">'Cap 5 - WACC'!aaererc</definedName>
    <definedName name="aaererc" localSheetId="7">'Cap 6 - Districom'!aaererc</definedName>
    <definedName name="aaererc" localSheetId="8">'Cap 7 - Polaris'!aaererc</definedName>
    <definedName name="aaererc">#REF!</definedName>
    <definedName name="abc" localSheetId="3">'Cap 4  - M&amp;M'!abc</definedName>
    <definedName name="abc" localSheetId="5">'Cap 5 - WACC'!abc</definedName>
    <definedName name="abc" localSheetId="7">'Cap 6 - Districom'!abc</definedName>
    <definedName name="abc" localSheetId="8">'Cap 7 - Polaris'!abc</definedName>
    <definedName name="abc">#REF!</definedName>
    <definedName name="adfefadx" localSheetId="3">'Cap 4  - M&amp;M'!adfefadx</definedName>
    <definedName name="adfefadx" localSheetId="5">'Cap 5 - WACC'!adfefadx</definedName>
    <definedName name="adfefadx" localSheetId="7">'Cap 6 - Districom'!adfefadx</definedName>
    <definedName name="adfefadx" localSheetId="8">'Cap 7 - Polaris'!adfefadx</definedName>
    <definedName name="adfefadx">#REF!</definedName>
    <definedName name="afdsaff" localSheetId="3">'Cap 4  - M&amp;M'!afdsaff</definedName>
    <definedName name="afdsaff" localSheetId="5">'Cap 5 - WACC'!afdsaff</definedName>
    <definedName name="afdsaff" localSheetId="7">'Cap 6 - Districom'!afdsaff</definedName>
    <definedName name="afdsaff" localSheetId="8">'Cap 7 - Polaris'!afdsaff</definedName>
    <definedName name="afdsaff">#REF!</definedName>
    <definedName name="algodao" localSheetId="3">#REF!</definedName>
    <definedName name="algodao">#REF!</definedName>
    <definedName name="_xlnm.Print_Area" localSheetId="2">'Cap 2 - Topázio'!#REF!</definedName>
    <definedName name="_xlnm.Print_Area" localSheetId="3">#REF!</definedName>
    <definedName name="_xlnm.Print_Area" localSheetId="5">'Cap 5 - WACC'!$A$1:$D$38</definedName>
    <definedName name="_xlnm.Print_Area" localSheetId="7">'Cap 6 - Districom'!$A$2:$I$79</definedName>
    <definedName name="_xlnm.Print_Area" localSheetId="8">#REF!</definedName>
    <definedName name="_xlnm.Print_Area">#REF!</definedName>
    <definedName name="asdfasdfa" localSheetId="3">'Cap 4  - M&amp;M'!asdfasdfa</definedName>
    <definedName name="asdfasdfa" localSheetId="5">'Cap 5 - WACC'!asdfasdfa</definedName>
    <definedName name="asdfasdfa" localSheetId="7">'Cap 6 - Districom'!asdfasdfa</definedName>
    <definedName name="asdfasdfa" localSheetId="8">'Cap 7 - Polaris'!asdfasdfa</definedName>
    <definedName name="asdfasdfa">#REF!</definedName>
    <definedName name="ASSET_PEN" localSheetId="2">#REF!</definedName>
    <definedName name="ASSET_PEN" localSheetId="5">#REF!</definedName>
    <definedName name="ASSET_PEN" localSheetId="7">#REF!</definedName>
    <definedName name="ASSET_PEN" localSheetId="8">#REF!</definedName>
    <definedName name="ASSET_PEN">#REF!</definedName>
    <definedName name="atuais" localSheetId="3">#REF!</definedName>
    <definedName name="atuais">#REF!</definedName>
    <definedName name="averagga" localSheetId="3">'Cap 4  - M&amp;M'!averagga</definedName>
    <definedName name="averagga" localSheetId="5">'Cap 5 - WACC'!averagga</definedName>
    <definedName name="averagga" localSheetId="7">'Cap 6 - Districom'!averagga</definedName>
    <definedName name="averagga" localSheetId="8">'Cap 7 - Polaris'!averagga</definedName>
    <definedName name="averagga">#REF!</definedName>
    <definedName name="avergga8" localSheetId="3">'Cap 4  - M&amp;M'!avergga8</definedName>
    <definedName name="avergga8" localSheetId="5">'Cap 5 - WACC'!avergga8</definedName>
    <definedName name="avergga8" localSheetId="7">'Cap 6 - Districom'!avergga8</definedName>
    <definedName name="avergga8" localSheetId="8">'Cap 7 - Polaris'!avergga8</definedName>
    <definedName name="avergga8">#REF!</definedName>
    <definedName name="awq" localSheetId="3">'Cap 4  - M&amp;M'!awq</definedName>
    <definedName name="awq" localSheetId="5">'Cap 5 - WACC'!awq</definedName>
    <definedName name="awq" localSheetId="7">'Cap 6 - Districom'!awq</definedName>
    <definedName name="awq" localSheetId="8">'Cap 7 - Polaris'!awq</definedName>
    <definedName name="awq">#REF!</definedName>
    <definedName name="AxesFormat" localSheetId="3">'Cap 4  - M&amp;M'!AxesFormat</definedName>
    <definedName name="AxesFormat" localSheetId="5">'Cap 5 - WACC'!AxesFormat</definedName>
    <definedName name="AxesFormat" localSheetId="7">'Cap 6 - Districom'!AxesFormat</definedName>
    <definedName name="AxesFormat" localSheetId="8">'Cap 7 - Polaris'!AxesFormat</definedName>
    <definedName name="AxesFormat">#REF!</definedName>
    <definedName name="axexformat2" localSheetId="3">'Cap 4  - M&amp;M'!axexformat2</definedName>
    <definedName name="axexformat2" localSheetId="5">'Cap 5 - WACC'!axexformat2</definedName>
    <definedName name="axexformat2" localSheetId="7">'Cap 6 - Districom'!axexformat2</definedName>
    <definedName name="axexformat2" localSheetId="8">'Cap 7 - Polaris'!axexformat2</definedName>
    <definedName name="axexformat2">#REF!</definedName>
    <definedName name="b" localSheetId="3">'Cap 4  - M&amp;M'!b</definedName>
    <definedName name="b" localSheetId="5">'Cap 5 - WACC'!b</definedName>
    <definedName name="b" localSheetId="7">'Cap 6 - Districom'!b</definedName>
    <definedName name="b" localSheetId="8">'Cap 7 - Polaris'!b</definedName>
    <definedName name="b">#REF!</definedName>
    <definedName name="b_manual" localSheetId="2">#REF!</definedName>
    <definedName name="b_manual" localSheetId="5">#REF!</definedName>
    <definedName name="b_manual" localSheetId="7">#REF!</definedName>
    <definedName name="b_manual" localSheetId="8">#REF!</definedName>
    <definedName name="b_manual">#REF!</definedName>
    <definedName name="BALANCE" localSheetId="2">#REF!</definedName>
    <definedName name="BALANCE" localSheetId="5">#REF!</definedName>
    <definedName name="BALANCE" localSheetId="7">#REF!</definedName>
    <definedName name="BALANCE">#REF!</definedName>
    <definedName name="BASE" localSheetId="2">#REF!</definedName>
    <definedName name="BASE" localSheetId="5">#REF!</definedName>
    <definedName name="BASE" localSheetId="7">#REF!</definedName>
    <definedName name="BASE">#REF!</definedName>
    <definedName name="bb" localSheetId="3">'Cap 4  - M&amp;M'!bb</definedName>
    <definedName name="bb" localSheetId="5">'Cap 5 - WACC'!bb</definedName>
    <definedName name="bb" localSheetId="7">'Cap 6 - Districom'!bb</definedName>
    <definedName name="bb" localSheetId="8">'Cap 7 - Polaris'!bb</definedName>
    <definedName name="bb">#REF!</definedName>
    <definedName name="bezerx" localSheetId="3">'Cap 4  - M&amp;M'!bezerx</definedName>
    <definedName name="bezerx" localSheetId="5">'Cap 5 - WACC'!bezerx</definedName>
    <definedName name="bezerx" localSheetId="7">'Cap 6 - Districom'!bezerx</definedName>
    <definedName name="bezerx" localSheetId="8">'Cap 7 - Polaris'!bezerx</definedName>
    <definedName name="bezerx">#REF!</definedName>
    <definedName name="bhII" localSheetId="3">#REF!</definedName>
    <definedName name="bhII">#REF!</definedName>
    <definedName name="CALC" localSheetId="2">#REF!</definedName>
    <definedName name="CALC" localSheetId="5">#REF!</definedName>
    <definedName name="CALC" localSheetId="7">#REF!</definedName>
    <definedName name="CALC" localSheetId="8">#REF!</definedName>
    <definedName name="CALC">#REF!</definedName>
    <definedName name="cambio" localSheetId="3">#REF!</definedName>
    <definedName name="cambio">#REF!</definedName>
    <definedName name="capital" localSheetId="2">#REF!</definedName>
    <definedName name="capital" localSheetId="5">#REF!</definedName>
    <definedName name="capital" localSheetId="7">#REF!</definedName>
    <definedName name="capital" localSheetId="8">#REF!</definedName>
    <definedName name="capital">#REF!</definedName>
    <definedName name="CASH" localSheetId="2">#REF!</definedName>
    <definedName name="CASH" localSheetId="5">#REF!</definedName>
    <definedName name="CASH" localSheetId="7">#REF!</definedName>
    <definedName name="CASH">#REF!</definedName>
    <definedName name="CASH_FLOW" localSheetId="2">#REF!</definedName>
    <definedName name="CASH_FLOW" localSheetId="5">#REF!</definedName>
    <definedName name="CASH_FLOW" localSheetId="7">#REF!</definedName>
    <definedName name="CASH_FLOW">#REF!</definedName>
    <definedName name="CASHTAX" localSheetId="5">#REF!</definedName>
    <definedName name="CASHTAX" localSheetId="7">#REF!</definedName>
    <definedName name="CASHTAX">#REF!</definedName>
    <definedName name="CBORDER" localSheetId="5">#REF!</definedName>
    <definedName name="CBORDER" localSheetId="7">#REF!</definedName>
    <definedName name="CBORDER">#REF!</definedName>
    <definedName name="cc" localSheetId="3">'Cap 4  - M&amp;M'!cc</definedName>
    <definedName name="cc" localSheetId="5">'Cap 5 - WACC'!cc</definedName>
    <definedName name="cc" localSheetId="7">'Cap 6 - Districom'!cc</definedName>
    <definedName name="cc" localSheetId="8">'Cap 7 - Polaris'!cc</definedName>
    <definedName name="cc">#REF!</definedName>
    <definedName name="Chile" localSheetId="3">#REF!</definedName>
    <definedName name="Chile">#REF!</definedName>
    <definedName name="Choices_Wrapper" localSheetId="3">'Cap 4  - M&amp;M'!Choices_Wrapper</definedName>
    <definedName name="Choices_Wrapper" localSheetId="5">'Cap 5 - WACC'!Choices_Wrapper</definedName>
    <definedName name="Choices_Wrapper" localSheetId="7">'Cap 6 - Districom'!Choices_Wrapper</definedName>
    <definedName name="Choices_Wrapper" localSheetId="8">'Cap 7 - Polaris'!Choices_Wrapper</definedName>
    <definedName name="Choices_Wrapper">#REF!</definedName>
    <definedName name="circ" localSheetId="2">#REF!</definedName>
    <definedName name="circ" localSheetId="3">#REF!</definedName>
    <definedName name="circ" localSheetId="5">#REF!</definedName>
    <definedName name="circ" localSheetId="7">#REF!</definedName>
    <definedName name="circ" localSheetId="8">#REF!</definedName>
    <definedName name="circ">#REF!</definedName>
    <definedName name="ClosePrint" localSheetId="3">'Cap 4  - M&amp;M'!ClosePrint</definedName>
    <definedName name="ClosePrint" localSheetId="5">'Cap 5 - WACC'!ClosePrint</definedName>
    <definedName name="ClosePrint" localSheetId="7">'Cap 6 - Districom'!ClosePrint</definedName>
    <definedName name="ClosePrint" localSheetId="8">'Cap 7 - Polaris'!ClosePrint</definedName>
    <definedName name="ClosePrint">#REF!</definedName>
    <definedName name="COGS" localSheetId="2">#REF!</definedName>
    <definedName name="COGS" localSheetId="5">#REF!</definedName>
    <definedName name="COGS" localSheetId="7">#REF!</definedName>
    <definedName name="COGS" localSheetId="8">#REF!</definedName>
    <definedName name="COGS">#REF!</definedName>
    <definedName name="COMPANY" localSheetId="2">#REF!</definedName>
    <definedName name="COMPANY" localSheetId="5">#REF!</definedName>
    <definedName name="COMPANY" localSheetId="7">#REF!</definedName>
    <definedName name="COMPANY">#REF!</definedName>
    <definedName name="CONSTANT" localSheetId="2">#REF!</definedName>
    <definedName name="CONSTANT" localSheetId="5">#REF!</definedName>
    <definedName name="CONSTANT" localSheetId="7">#REF!</definedName>
    <definedName name="CONSTANT">#REF!</definedName>
    <definedName name="CTA_Chilquinta">0.02</definedName>
    <definedName name="CTA_LDS">0.005</definedName>
    <definedName name="CTA_PPN">0.04</definedName>
    <definedName name="CTA_Prisma">0.04</definedName>
    <definedName name="CTA_RGE">0.04</definedName>
    <definedName name="CTA_Saesa">0.02</definedName>
    <definedName name="CTA_Skawina">0.04</definedName>
    <definedName name="dasdasd" localSheetId="2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dasdasd" localSheetId="3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dasdasd" localSheetId="5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dasdasd" localSheetId="7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dasdasd" localSheetId="8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dasdasd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dd" localSheetId="3">'Cap 4  - M&amp;M'!dd</definedName>
    <definedName name="dd" localSheetId="5">'Cap 5 - WACC'!dd</definedName>
    <definedName name="dd" localSheetId="7">'Cap 6 - Districom'!dd</definedName>
    <definedName name="dd" localSheetId="8">'Cap 7 - Polaris'!dd</definedName>
    <definedName name="dd">#REF!</definedName>
    <definedName name="ddddddddddddd" localSheetId="3">'Cap 4  - M&amp;M'!ddddddddddddd</definedName>
    <definedName name="ddddddddddddd" localSheetId="5">'Cap 5 - WACC'!ddddddddddddd</definedName>
    <definedName name="ddddddddddddd" localSheetId="7">'Cap 6 - Districom'!ddddddddddddd</definedName>
    <definedName name="ddddddddddddd" localSheetId="8">'Cap 7 - Polaris'!ddddddddddddd</definedName>
    <definedName name="ddddddddddddd">#REF!</definedName>
    <definedName name="de" localSheetId="3">'Cap 4  - M&amp;M'!de</definedName>
    <definedName name="de" localSheetId="5">'Cap 5 - WACC'!de</definedName>
    <definedName name="de" localSheetId="7">'Cap 6 - Districom'!de</definedName>
    <definedName name="de" localSheetId="8">'Cap 7 - Polaris'!de</definedName>
    <definedName name="de">#REF!</definedName>
    <definedName name="DEPRECIATION" localSheetId="2">#REF!</definedName>
    <definedName name="DEPRECIATION" localSheetId="5">#REF!</definedName>
    <definedName name="DEPRECIATION" localSheetId="7">#REF!</definedName>
    <definedName name="DEPRECIATION" localSheetId="8">#REF!</definedName>
    <definedName name="DEPRECIATION">#REF!</definedName>
    <definedName name="Des" localSheetId="3">'Cap 4  - M&amp;M'!Des</definedName>
    <definedName name="Des" localSheetId="5">'Cap 5 - WACC'!Des</definedName>
    <definedName name="Des" localSheetId="7">'Cap 6 - Districom'!Des</definedName>
    <definedName name="Des" localSheetId="8">'Cap 7 - Polaris'!Des</definedName>
    <definedName name="Des">#REF!</definedName>
    <definedName name="Descrição_Unidades" localSheetId="2">#REF!</definedName>
    <definedName name="Descrição_Unidades" localSheetId="3">#REF!</definedName>
    <definedName name="Descrição_Unidades" localSheetId="5">#REF!</definedName>
    <definedName name="Descrição_Unidades" localSheetId="7">#REF!</definedName>
    <definedName name="Descrição_Unidades" localSheetId="8">#REF!</definedName>
    <definedName name="Descrição_Unidades">#REF!</definedName>
    <definedName name="Diag" localSheetId="2">#REF!</definedName>
    <definedName name="Diag" localSheetId="5">#REF!</definedName>
    <definedName name="Diag" localSheetId="7">#REF!</definedName>
    <definedName name="Diag" localSheetId="8">#REF!</definedName>
    <definedName name="Diag">#REF!</definedName>
    <definedName name="DIRECTORY" localSheetId="2">#REF!</definedName>
    <definedName name="DIRECTORY" localSheetId="5">#REF!</definedName>
    <definedName name="DIRECTORY" localSheetId="7">#REF!</definedName>
    <definedName name="DIRECTORY">#REF!</definedName>
    <definedName name="econ_profit" localSheetId="2">#REF!</definedName>
    <definedName name="econ_profit" localSheetId="5">#REF!</definedName>
    <definedName name="econ_profit" localSheetId="7">#REF!</definedName>
    <definedName name="econ_profit">#REF!</definedName>
    <definedName name="ee" localSheetId="3">'Cap 4  - M&amp;M'!ee</definedName>
    <definedName name="ee" localSheetId="5">'Cap 5 - WACC'!ee</definedName>
    <definedName name="ee" localSheetId="7">'Cap 6 - Districom'!ee</definedName>
    <definedName name="ee" localSheetId="8">'Cap 7 - Polaris'!ee</definedName>
    <definedName name="ee">#REF!</definedName>
    <definedName name="EPS_CAGR_Sensitivity_Analysis_for_Hershey_Foods_Corp.">"table"</definedName>
    <definedName name="EV" localSheetId="2">#REF!</definedName>
    <definedName name="EV" localSheetId="5">#REF!</definedName>
    <definedName name="EV" localSheetId="7">#REF!</definedName>
    <definedName name="EV" localSheetId="8">#REF!</definedName>
    <definedName name="EV">#REF!</definedName>
    <definedName name="ExpandOutputs" localSheetId="3">'Cap 4  - M&amp;M'!ExpandOutputs</definedName>
    <definedName name="ExpandOutputs" localSheetId="5">'Cap 5 - WACC'!ExpandOutputs</definedName>
    <definedName name="ExpandOutputs" localSheetId="7">'Cap 6 - Districom'!ExpandOutputs</definedName>
    <definedName name="ExpandOutputs" localSheetId="8">'Cap 7 - Polaris'!ExpandOutputs</definedName>
    <definedName name="ExpandOutputs">#REF!</definedName>
    <definedName name="ExpandVPeriods" localSheetId="3">'Cap 4  - M&amp;M'!ExpandVPeriods</definedName>
    <definedName name="ExpandVPeriods" localSheetId="5">'Cap 5 - WACC'!ExpandVPeriods</definedName>
    <definedName name="ExpandVPeriods" localSheetId="7">'Cap 6 - Districom'!ExpandVPeriods</definedName>
    <definedName name="ExpandVPeriods" localSheetId="8">'Cap 7 - Polaris'!ExpandVPeriods</definedName>
    <definedName name="ExpandVPeriods">#REF!</definedName>
    <definedName name="expansao" localSheetId="3">#REF!</definedName>
    <definedName name="expansao">#REF!</definedName>
    <definedName name="ExportFile" localSheetId="3">'Cap 4  - M&amp;M'!ExportFile</definedName>
    <definedName name="ExportFile" localSheetId="5">'Cap 5 - WACC'!ExportFile</definedName>
    <definedName name="ExportFile" localSheetId="7">'Cap 6 - Districom'!ExportFile</definedName>
    <definedName name="ExportFile" localSheetId="8">'Cap 7 - Polaris'!ExportFile</definedName>
    <definedName name="ExportFile">#REF!</definedName>
    <definedName name="Exportfile2" localSheetId="3">'Cap 4  - M&amp;M'!Exportfile2</definedName>
    <definedName name="Exportfile2" localSheetId="5">'Cap 5 - WACC'!Exportfile2</definedName>
    <definedName name="Exportfile2" localSheetId="7">'Cap 6 - Districom'!Exportfile2</definedName>
    <definedName name="Exportfile2" localSheetId="8">'Cap 7 - Polaris'!Exportfile2</definedName>
    <definedName name="Exportfile2">#REF!</definedName>
    <definedName name="F_BALANCE" localSheetId="2">#REF!</definedName>
    <definedName name="F_BALANCE" localSheetId="5">#REF!</definedName>
    <definedName name="F_BALANCE" localSheetId="7">#REF!</definedName>
    <definedName name="F_BALANCE" localSheetId="8">#REF!</definedName>
    <definedName name="F_BALANCE">#REF!</definedName>
    <definedName name="f_capital" localSheetId="2">#REF!</definedName>
    <definedName name="f_capital" localSheetId="5">#REF!</definedName>
    <definedName name="f_capital" localSheetId="7">#REF!</definedName>
    <definedName name="f_capital">#REF!</definedName>
    <definedName name="F_CASH" localSheetId="2">#REF!</definedName>
    <definedName name="F_CASH" localSheetId="5">#REF!</definedName>
    <definedName name="F_CASH" localSheetId="7">#REF!</definedName>
    <definedName name="F_CASH">#REF!</definedName>
    <definedName name="f_econ_profit" localSheetId="5">#REF!</definedName>
    <definedName name="f_econ_profit" localSheetId="7">#REF!</definedName>
    <definedName name="f_econ_profit">#REF!</definedName>
    <definedName name="F_FINANCE" localSheetId="5">#REF!</definedName>
    <definedName name="F_FINANCE" localSheetId="7">#REF!</definedName>
    <definedName name="F_FINANCE">#REF!</definedName>
    <definedName name="f_free_cash_flow" localSheetId="5">#REF!</definedName>
    <definedName name="f_free_cash_flow" localSheetId="7">#REF!</definedName>
    <definedName name="f_free_cash_flow">#REF!</definedName>
    <definedName name="F_INCOME" localSheetId="5">#REF!</definedName>
    <definedName name="F_INCOME" localSheetId="7">#REF!</definedName>
    <definedName name="F_INCOME">#REF!</definedName>
    <definedName name="F_INVEST" localSheetId="5">#REF!</definedName>
    <definedName name="F_INVEST" localSheetId="7">#REF!</definedName>
    <definedName name="F_INVEST">#REF!</definedName>
    <definedName name="f_manual" localSheetId="5">#REF!</definedName>
    <definedName name="f_manual" localSheetId="7">#REF!</definedName>
    <definedName name="f_manual">#REF!</definedName>
    <definedName name="F_NOPLAT" localSheetId="5">#REF!</definedName>
    <definedName name="F_NOPLAT" localSheetId="7">#REF!</definedName>
    <definedName name="F_NOPLAT">#REF!</definedName>
    <definedName name="F_OPERATING" localSheetId="5">#REF!</definedName>
    <definedName name="F_OPERATING" localSheetId="7">#REF!</definedName>
    <definedName name="F_OPERATING">#REF!</definedName>
    <definedName name="f_ratios" localSheetId="5">#REF!</definedName>
    <definedName name="f_ratios" localSheetId="7">#REF!</definedName>
    <definedName name="f_ratios">#REF!</definedName>
    <definedName name="F_RESULTS" localSheetId="5">#REF!</definedName>
    <definedName name="F_RESULTS" localSheetId="7">#REF!</definedName>
    <definedName name="F_RESULTS">#REF!</definedName>
    <definedName name="f_roic" localSheetId="5">#REF!</definedName>
    <definedName name="f_roic" localSheetId="7">#REF!</definedName>
    <definedName name="f_roic">#REF!</definedName>
    <definedName name="F_SUP_CALC" localSheetId="5">#REF!</definedName>
    <definedName name="F_SUP_CALC" localSheetId="7">#REF!</definedName>
    <definedName name="F_SUP_CALC">#REF!</definedName>
    <definedName name="f_valuation" localSheetId="5">#REF!</definedName>
    <definedName name="f_valuation" localSheetId="7">#REF!</definedName>
    <definedName name="f_valuation">#REF!</definedName>
    <definedName name="faer" localSheetId="3">'Cap 4  - M&amp;M'!faer</definedName>
    <definedName name="faer" localSheetId="5">'Cap 5 - WACC'!faer</definedName>
    <definedName name="faer" localSheetId="7">'Cap 6 - Districom'!faer</definedName>
    <definedName name="faer" localSheetId="8">'Cap 7 - Polaris'!faer</definedName>
    <definedName name="faer">#REF!</definedName>
    <definedName name="far" localSheetId="2">#REF!</definedName>
    <definedName name="far" localSheetId="5">#REF!</definedName>
    <definedName name="far" localSheetId="7">#REF!</definedName>
    <definedName name="far" localSheetId="8">#REF!</definedName>
    <definedName name="far">#REF!</definedName>
    <definedName name="Fazenda_Pamplona" localSheetId="2">#REF!</definedName>
    <definedName name="Fazenda_Pamplona" localSheetId="3">#REF!</definedName>
    <definedName name="Fazenda_Pamplona" localSheetId="5">#REF!</definedName>
    <definedName name="Fazenda_Pamplona" localSheetId="7">#REF!</definedName>
    <definedName name="Fazenda_Pamplona" localSheetId="8">#REF!</definedName>
    <definedName name="Fazenda_Pamplona">#REF!</definedName>
    <definedName name="FBASE" localSheetId="2">#REF!</definedName>
    <definedName name="FBASE" localSheetId="5">#REF!</definedName>
    <definedName name="FBASE" localSheetId="7">#REF!</definedName>
    <definedName name="FBASE" localSheetId="8">#REF!</definedName>
    <definedName name="FBASE">#REF!</definedName>
    <definedName name="FCASHTAX" localSheetId="2">#REF!</definedName>
    <definedName name="FCASHTAX" localSheetId="5">#REF!</definedName>
    <definedName name="FCASHTAX" localSheetId="7">#REF!</definedName>
    <definedName name="FCASHTAX">#REF!</definedName>
    <definedName name="FCOGS" localSheetId="2">#REF!</definedName>
    <definedName name="FCOGS" localSheetId="5">#REF!</definedName>
    <definedName name="FCOGS" localSheetId="7">#REF!</definedName>
    <definedName name="FCOGS">#REF!</definedName>
    <definedName name="FCONSTANT" localSheetId="5">#REF!</definedName>
    <definedName name="FCONSTANT" localSheetId="7">#REF!</definedName>
    <definedName name="FCONSTANT">#REF!</definedName>
    <definedName name="FDEPRECIATION" localSheetId="5">#REF!</definedName>
    <definedName name="FDEPRECIATION" localSheetId="7">#REF!</definedName>
    <definedName name="FDEPRECIATION">#REF!</definedName>
    <definedName name="ff" localSheetId="3">'Cap 4  - M&amp;M'!ff</definedName>
    <definedName name="ff" localSheetId="5">'Cap 5 - WACC'!ff</definedName>
    <definedName name="ff" localSheetId="7">'Cap 6 - Districom'!ff</definedName>
    <definedName name="ff" localSheetId="8">'Cap 7 - Polaris'!ff</definedName>
    <definedName name="ff">#REF!</definedName>
    <definedName name="fffff" localSheetId="3">'Cap 4  - M&amp;M'!fffff</definedName>
    <definedName name="fffff" localSheetId="5">'Cap 5 - WACC'!fffff</definedName>
    <definedName name="fffff" localSheetId="7">'Cap 6 - Districom'!fffff</definedName>
    <definedName name="fffff" localSheetId="8">'Cap 7 - Polaris'!fffff</definedName>
    <definedName name="fffff">#REF!</definedName>
    <definedName name="FFINANCE" localSheetId="2">#REF!</definedName>
    <definedName name="FFINANCE" localSheetId="5">#REF!</definedName>
    <definedName name="FFINANCE" localSheetId="7">#REF!</definedName>
    <definedName name="FFINANCE" localSheetId="8">#REF!</definedName>
    <definedName name="FFINANCE">#REF!</definedName>
    <definedName name="FGROWTH" localSheetId="2">#REF!</definedName>
    <definedName name="FGROWTH" localSheetId="5">#REF!</definedName>
    <definedName name="FGROWTH" localSheetId="7">#REF!</definedName>
    <definedName name="FGROWTH">#REF!</definedName>
    <definedName name="FILE" localSheetId="2">#REF!</definedName>
    <definedName name="FILE" localSheetId="5">#REF!</definedName>
    <definedName name="FILE" localSheetId="7">#REF!</definedName>
    <definedName name="FILE">#REF!</definedName>
    <definedName name="FINANCE" localSheetId="5">#REF!</definedName>
    <definedName name="FINANCE" localSheetId="7">#REF!</definedName>
    <definedName name="FINANCE">#REF!</definedName>
    <definedName name="FINCREASED" localSheetId="5">#REF!</definedName>
    <definedName name="FINCREASED" localSheetId="7">#REF!</definedName>
    <definedName name="FINCREASED">#REF!</definedName>
    <definedName name="FINETOTHER" localSheetId="5">#REF!</definedName>
    <definedName name="FINETOTHER" localSheetId="7">#REF!</definedName>
    <definedName name="FINETOTHER">#REF!</definedName>
    <definedName name="FINETPPE" localSheetId="5">#REF!</definedName>
    <definedName name="FINETPPE" localSheetId="7">#REF!</definedName>
    <definedName name="FINETPPE">#REF!</definedName>
    <definedName name="FINTENSITY" localSheetId="5">#REF!</definedName>
    <definedName name="FINTENSITY" localSheetId="7">#REF!</definedName>
    <definedName name="FINTENSITY">#REF!</definedName>
    <definedName name="FINVESTMENT" localSheetId="5">#REF!</definedName>
    <definedName name="FINVESTMENT" localSheetId="7">#REF!</definedName>
    <definedName name="FINVESTMENT">#REF!</definedName>
    <definedName name="FINVESTYEARS" localSheetId="5">#REF!</definedName>
    <definedName name="FINVESTYEARS" localSheetId="7">#REF!</definedName>
    <definedName name="FINVESTYEARS">#REF!</definedName>
    <definedName name="FIWORKING" localSheetId="5">#REF!</definedName>
    <definedName name="FIWORKING" localSheetId="7">#REF!</definedName>
    <definedName name="FIWORKING">#REF!</definedName>
    <definedName name="fkjvosd" localSheetId="3">'Cap 4  - M&amp;M'!fkjvosd</definedName>
    <definedName name="fkjvosd" localSheetId="5">'Cap 5 - WACC'!fkjvosd</definedName>
    <definedName name="fkjvosd" localSheetId="7">'Cap 6 - Districom'!fkjvosd</definedName>
    <definedName name="fkjvosd" localSheetId="8">'Cap 7 - Polaris'!fkjvosd</definedName>
    <definedName name="fkjvosd">#REF!</definedName>
    <definedName name="Fluxo" localSheetId="3">'Cap 4  - M&amp;M'!Fluxo</definedName>
    <definedName name="Fluxo" localSheetId="5">'Cap 5 - WACC'!Fluxo</definedName>
    <definedName name="Fluxo" localSheetId="7">'Cap 6 - Districom'!Fluxo</definedName>
    <definedName name="Fluxo" localSheetId="8">'Cap 7 - Polaris'!Fluxo</definedName>
    <definedName name="Fluxo">#REF!</definedName>
    <definedName name="FMARGIN" localSheetId="2">#REF!</definedName>
    <definedName name="FMARGIN" localSheetId="5">#REF!</definedName>
    <definedName name="FMARGIN" localSheetId="7">#REF!</definedName>
    <definedName name="FMARGIN" localSheetId="8">#REF!</definedName>
    <definedName name="FMARGIN">#REF!</definedName>
    <definedName name="FNETPPE" localSheetId="2">#REF!</definedName>
    <definedName name="FNETPPE" localSheetId="5">#REF!</definedName>
    <definedName name="FNETPPE" localSheetId="7">#REF!</definedName>
    <definedName name="FNETPPE">#REF!</definedName>
    <definedName name="FNOPLAT" localSheetId="2">#REF!</definedName>
    <definedName name="FNOPLAT" localSheetId="5">#REF!</definedName>
    <definedName name="FNOPLAT" localSheetId="7">#REF!</definedName>
    <definedName name="FNOPLAT">#REF!</definedName>
    <definedName name="FOPERATING" localSheetId="5">#REF!</definedName>
    <definedName name="FOPERATING" localSheetId="7">#REF!</definedName>
    <definedName name="FOPERATING">#REF!</definedName>
    <definedName name="FORE_ALL" localSheetId="5">#REF!</definedName>
    <definedName name="FORE_ALL" localSheetId="7">#REF!</definedName>
    <definedName name="FORE_ALL">#REF!</definedName>
    <definedName name="FOTHER" localSheetId="5">#REF!</definedName>
    <definedName name="FOTHER" localSheetId="7">#REF!</definedName>
    <definedName name="FOTHER">#REF!</definedName>
    <definedName name="FPREROIC" localSheetId="5">#REF!</definedName>
    <definedName name="FPREROIC" localSheetId="7">#REF!</definedName>
    <definedName name="FPREROIC">#REF!</definedName>
    <definedName name="free_cash_flow" localSheetId="5">#REF!</definedName>
    <definedName name="free_cash_flow" localSheetId="7">#REF!</definedName>
    <definedName name="free_cash_flow">#REF!</definedName>
    <definedName name="FROIC" localSheetId="5">#REF!</definedName>
    <definedName name="FROIC" localSheetId="7">#REF!</definedName>
    <definedName name="FROIC">#REF!</definedName>
    <definedName name="FROICYEARS" localSheetId="5">#REF!</definedName>
    <definedName name="FROICYEARS" localSheetId="7">#REF!</definedName>
    <definedName name="FROICYEARS">#REF!</definedName>
    <definedName name="FSG_A" localSheetId="5">#REF!</definedName>
    <definedName name="FSG_A" localSheetId="7">#REF!</definedName>
    <definedName name="FSG_A">#REF!</definedName>
    <definedName name="FTURNOVER" localSheetId="5">#REF!</definedName>
    <definedName name="FTURNOVER" localSheetId="7">#REF!</definedName>
    <definedName name="FTURNOVER">#REF!</definedName>
    <definedName name="FWORKING" localSheetId="5">#REF!</definedName>
    <definedName name="FWORKING" localSheetId="7">#REF!</definedName>
    <definedName name="FWORKING">#REF!</definedName>
    <definedName name="G" localSheetId="5">#REF!</definedName>
    <definedName name="G" localSheetId="7">#REF!</definedName>
    <definedName name="G">#REF!</definedName>
    <definedName name="GBALANCE" localSheetId="5">#REF!</definedName>
    <definedName name="GBALANCE" localSheetId="7">#REF!</definedName>
    <definedName name="GBALANCE">#REF!</definedName>
    <definedName name="GCAP_INVEST" localSheetId="5">#REF!</definedName>
    <definedName name="GCAP_INVEST" localSheetId="7">#REF!</definedName>
    <definedName name="GCAP_INVEST">#REF!</definedName>
    <definedName name="GFINANCE" localSheetId="5">#REF!</definedName>
    <definedName name="GFINANCE" localSheetId="7">#REF!</definedName>
    <definedName name="GFINANCE">#REF!</definedName>
    <definedName name="GFORECAST" localSheetId="5">#REF!</definedName>
    <definedName name="GFORECAST" localSheetId="7">#REF!</definedName>
    <definedName name="GFORECAST">#REF!</definedName>
    <definedName name="GFREE_CASH" localSheetId="5">#REF!</definedName>
    <definedName name="GFREE_CASH" localSheetId="7">#REF!</definedName>
    <definedName name="GFREE_CASH">#REF!</definedName>
    <definedName name="gg" localSheetId="3">'Cap 4  - M&amp;M'!gg</definedName>
    <definedName name="gg" localSheetId="5">'Cap 5 - WACC'!gg</definedName>
    <definedName name="gg" localSheetId="7">'Cap 6 - Districom'!gg</definedName>
    <definedName name="gg" localSheetId="8">'Cap 7 - Polaris'!gg</definedName>
    <definedName name="gg">#REF!</definedName>
    <definedName name="ggg" localSheetId="3">'Cap 4  - M&amp;M'!ggg</definedName>
    <definedName name="ggg" localSheetId="5">'Cap 5 - WACC'!ggg</definedName>
    <definedName name="ggg" localSheetId="7">'Cap 6 - Districom'!ggg</definedName>
    <definedName name="ggg" localSheetId="8">'Cap 7 - Polaris'!ggg</definedName>
    <definedName name="ggg">#REF!</definedName>
    <definedName name="GINCOME" localSheetId="2">#REF!</definedName>
    <definedName name="GINCOME" localSheetId="5">#REF!</definedName>
    <definedName name="GINCOME" localSheetId="7">#REF!</definedName>
    <definedName name="GINCOME" localSheetId="8">#REF!</definedName>
    <definedName name="GINCOME">#REF!</definedName>
    <definedName name="GINPUT" localSheetId="2">#REF!</definedName>
    <definedName name="GINPUT" localSheetId="5">#REF!</definedName>
    <definedName name="GINPUT" localSheetId="7">#REF!</definedName>
    <definedName name="GINPUT">#REF!</definedName>
    <definedName name="GK_RESULTS" localSheetId="2">#REF!</definedName>
    <definedName name="GK_RESULTS" localSheetId="5">#REF!</definedName>
    <definedName name="GK_RESULTS" localSheetId="7">#REF!</definedName>
    <definedName name="GK_RESULTS">#REF!</definedName>
    <definedName name="glp" localSheetId="3">#REF!</definedName>
    <definedName name="glp">#REF!</definedName>
    <definedName name="GNOPLAT" localSheetId="2">#REF!</definedName>
    <definedName name="GNOPLAT" localSheetId="5">#REF!</definedName>
    <definedName name="GNOPLAT" localSheetId="7">#REF!</definedName>
    <definedName name="GNOPLAT" localSheetId="8">#REF!</definedName>
    <definedName name="GNOPLAT">#REF!</definedName>
    <definedName name="GOPERATING" localSheetId="2">#REF!</definedName>
    <definedName name="GOPERATING" localSheetId="5">#REF!</definedName>
    <definedName name="GOPERATING" localSheetId="7">#REF!</definedName>
    <definedName name="GOPERATING">#REF!</definedName>
    <definedName name="gpt">0.029166668354</definedName>
    <definedName name="_xlnm.Recorder" localSheetId="5">#REF!</definedName>
    <definedName name="_xlnm.Recorder" localSheetId="7">#REF!</definedName>
    <definedName name="_xlnm.Recorder">#REF!</definedName>
    <definedName name="grupo44" localSheetId="3">'Cap 4  - M&amp;M'!grupo44</definedName>
    <definedName name="grupo44" localSheetId="5">'Cap 5 - WACC'!grupo44</definedName>
    <definedName name="grupo44" localSheetId="7">'Cap 6 - Districom'!grupo44</definedName>
    <definedName name="grupo44" localSheetId="8">'Cap 7 - Polaris'!grupo44</definedName>
    <definedName name="grupo44">#REF!</definedName>
    <definedName name="Grupo44_Click" localSheetId="3">'Cap 4  - M&amp;M'!Grupo44_Click</definedName>
    <definedName name="Grupo44_Click" localSheetId="5">'Cap 5 - WACC'!Grupo44_Click</definedName>
    <definedName name="Grupo44_Click" localSheetId="7">'Cap 6 - Districom'!Grupo44_Click</definedName>
    <definedName name="Grupo44_Click" localSheetId="8">'Cap 7 - Polaris'!Grupo44_Click</definedName>
    <definedName name="Grupo44_Click">#REF!</definedName>
    <definedName name="GSUP_CALC" localSheetId="2">#REF!</definedName>
    <definedName name="GSUP_CALC" localSheetId="5">#REF!</definedName>
    <definedName name="GSUP_CALC" localSheetId="7">#REF!</definedName>
    <definedName name="GSUP_CALC" localSheetId="8">#REF!</definedName>
    <definedName name="GSUP_CALC">#REF!</definedName>
    <definedName name="GVALUE" localSheetId="2">#REF!</definedName>
    <definedName name="GVALUE" localSheetId="5">#REF!</definedName>
    <definedName name="GVALUE" localSheetId="7">#REF!</definedName>
    <definedName name="GVALUE">#REF!</definedName>
    <definedName name="H_INCOME" localSheetId="2">#REF!</definedName>
    <definedName name="H_INCOME" localSheetId="5">#REF!</definedName>
    <definedName name="H_INCOME" localSheetId="7">#REF!</definedName>
    <definedName name="H_INCOME">#REF!</definedName>
    <definedName name="HBALANCE" localSheetId="5">#REF!</definedName>
    <definedName name="HBALANCE" localSheetId="7">#REF!</definedName>
    <definedName name="HBALANCE">#REF!</definedName>
    <definedName name="HCAP_INVEST" localSheetId="5">#REF!</definedName>
    <definedName name="HCAP_INVEST" localSheetId="7">#REF!</definedName>
    <definedName name="HCAP_INVEST">#REF!</definedName>
    <definedName name="HFINANCE" localSheetId="5">#REF!</definedName>
    <definedName name="HFINANCE" localSheetId="7">#REF!</definedName>
    <definedName name="HFINANCE">#REF!</definedName>
    <definedName name="HFREE_CASH" localSheetId="5">#REF!</definedName>
    <definedName name="HFREE_CASH" localSheetId="7">#REF!</definedName>
    <definedName name="HFREE_CASH">#REF!</definedName>
    <definedName name="hh" localSheetId="3">'Cap 4  - M&amp;M'!hh</definedName>
    <definedName name="hh" localSheetId="5">'Cap 5 - WACC'!hh</definedName>
    <definedName name="hh" localSheetId="7">'Cap 6 - Districom'!hh</definedName>
    <definedName name="hh" localSheetId="8">'Cap 7 - Polaris'!hh</definedName>
    <definedName name="hh">#REF!</definedName>
    <definedName name="HIST_ALL" localSheetId="2">#REF!</definedName>
    <definedName name="HIST_ALL" localSheetId="5">#REF!</definedName>
    <definedName name="HIST_ALL" localSheetId="7">#REF!</definedName>
    <definedName name="HIST_ALL" localSheetId="8">#REF!</definedName>
    <definedName name="HIST_ALL">#REF!</definedName>
    <definedName name="HK_RESULT" localSheetId="2">#REF!</definedName>
    <definedName name="HK_RESULT" localSheetId="5">#REF!</definedName>
    <definedName name="HK_RESULT" localSheetId="7">#REF!</definedName>
    <definedName name="HK_RESULT">#REF!</definedName>
    <definedName name="hn.ModelType">"DEAL"</definedName>
    <definedName name="HNOPLAT" localSheetId="2">#REF!</definedName>
    <definedName name="HNOPLAT" localSheetId="5">#REF!</definedName>
    <definedName name="HNOPLAT" localSheetId="7">#REF!</definedName>
    <definedName name="HNOPLAT" localSheetId="8">#REF!</definedName>
    <definedName name="HNOPLAT">#REF!</definedName>
    <definedName name="HOPERATING" localSheetId="2">#REF!</definedName>
    <definedName name="HOPERATING" localSheetId="5">#REF!</definedName>
    <definedName name="HOPERATING" localSheetId="7">#REF!</definedName>
    <definedName name="HOPERATING">#REF!</definedName>
    <definedName name="HSUP_CALC" localSheetId="2">#REF!</definedName>
    <definedName name="HSUP_CALC" localSheetId="5">#REF!</definedName>
    <definedName name="HSUP_CALC" localSheetId="7">#REF!</definedName>
    <definedName name="HSUP_CALC">#REF!</definedName>
    <definedName name="IC" localSheetId="5">#REF!</definedName>
    <definedName name="IC" localSheetId="7">#REF!</definedName>
    <definedName name="IC">#REF!</definedName>
    <definedName name="ii" localSheetId="3">'Cap 4  - M&amp;M'!ii</definedName>
    <definedName name="ii" localSheetId="5">'Cap 5 - WACC'!ii</definedName>
    <definedName name="ii" localSheetId="7">'Cap 6 - Districom'!ii</definedName>
    <definedName name="ii" localSheetId="8">'Cap 7 - Polaris'!ii</definedName>
    <definedName name="ii">#REF!</definedName>
    <definedName name="ImportFile" localSheetId="3">'Cap 4  - M&amp;M'!ImportFile</definedName>
    <definedName name="ImportFile" localSheetId="5">'Cap 5 - WACC'!ImportFile</definedName>
    <definedName name="ImportFile" localSheetId="7">'Cap 6 - Districom'!ImportFile</definedName>
    <definedName name="ImportFile" localSheetId="8">'Cap 7 - Polaris'!ImportFile</definedName>
    <definedName name="ImportFile">#REF!</definedName>
    <definedName name="importfile2" localSheetId="3">'Cap 4  - M&amp;M'!importfile2</definedName>
    <definedName name="importfile2" localSheetId="5">'Cap 5 - WACC'!importfile2</definedName>
    <definedName name="importfile2" localSheetId="7">'Cap 6 - Districom'!importfile2</definedName>
    <definedName name="importfile2" localSheetId="8">'Cap 7 - Polaris'!importfile2</definedName>
    <definedName name="importfile2">#REF!</definedName>
    <definedName name="importfile3" localSheetId="3">'Cap 4  - M&amp;M'!importfile3</definedName>
    <definedName name="importfile3" localSheetId="5">'Cap 5 - WACC'!importfile3</definedName>
    <definedName name="importfile3" localSheetId="7">'Cap 6 - Districom'!importfile3</definedName>
    <definedName name="importfile3" localSheetId="8">'Cap 7 - Polaris'!importfile3</definedName>
    <definedName name="importfile3">#REF!</definedName>
    <definedName name="INCOME" localSheetId="2">#REF!</definedName>
    <definedName name="INCOME" localSheetId="5">#REF!</definedName>
    <definedName name="INCOME" localSheetId="7">#REF!</definedName>
    <definedName name="INCOME" localSheetId="8">#REF!</definedName>
    <definedName name="INCOME">#REF!</definedName>
    <definedName name="INCREASED" localSheetId="2">#REF!</definedName>
    <definedName name="INCREASED" localSheetId="5">#REF!</definedName>
    <definedName name="INCREASED" localSheetId="7">#REF!</definedName>
    <definedName name="INCREASED">#REF!</definedName>
    <definedName name="INETOTHER" localSheetId="2">#REF!</definedName>
    <definedName name="INETOTHER" localSheetId="5">#REF!</definedName>
    <definedName name="INETOTHER" localSheetId="7">#REF!</definedName>
    <definedName name="INETOTHER">#REF!</definedName>
    <definedName name="INETPPE" localSheetId="5">#REF!</definedName>
    <definedName name="INETPPE" localSheetId="7">#REF!</definedName>
    <definedName name="INETPPE">#REF!</definedName>
    <definedName name="input1" localSheetId="5">#REF!</definedName>
    <definedName name="input1" localSheetId="7">#REF!</definedName>
    <definedName name="input1">#REF!</definedName>
    <definedName name="input10" localSheetId="5">#REF!</definedName>
    <definedName name="input10" localSheetId="7">#REF!</definedName>
    <definedName name="input10">#REF!</definedName>
    <definedName name="input11" localSheetId="5">#REF!</definedName>
    <definedName name="input11" localSheetId="7">#REF!</definedName>
    <definedName name="input11">#REF!</definedName>
    <definedName name="input12" localSheetId="5">#REF!</definedName>
    <definedName name="input12" localSheetId="7">#REF!</definedName>
    <definedName name="input12">#REF!</definedName>
    <definedName name="input13" localSheetId="5">#REF!</definedName>
    <definedName name="input13" localSheetId="7">#REF!</definedName>
    <definedName name="input13">#REF!</definedName>
    <definedName name="input14" localSheetId="5">#REF!</definedName>
    <definedName name="input14" localSheetId="7">#REF!</definedName>
    <definedName name="input14">#REF!</definedName>
    <definedName name="input15" localSheetId="5">#REF!</definedName>
    <definedName name="input15" localSheetId="7">#REF!</definedName>
    <definedName name="input15">#REF!</definedName>
    <definedName name="input16" localSheetId="5">#REF!</definedName>
    <definedName name="input16" localSheetId="7">#REF!</definedName>
    <definedName name="input16">#REF!</definedName>
    <definedName name="input17" localSheetId="5">#REF!</definedName>
    <definedName name="input17" localSheetId="7">#REF!</definedName>
    <definedName name="input17">#REF!</definedName>
    <definedName name="input18" localSheetId="5">#REF!</definedName>
    <definedName name="input18" localSheetId="7">#REF!</definedName>
    <definedName name="input18">#REF!</definedName>
    <definedName name="input2" localSheetId="5">#REF!</definedName>
    <definedName name="input2" localSheetId="7">#REF!</definedName>
    <definedName name="input2">#REF!</definedName>
    <definedName name="input3" localSheetId="5">#REF!</definedName>
    <definedName name="input3" localSheetId="7">#REF!</definedName>
    <definedName name="input3">#REF!</definedName>
    <definedName name="input4" localSheetId="5">#REF!</definedName>
    <definedName name="input4" localSheetId="7">#REF!</definedName>
    <definedName name="input4">#REF!</definedName>
    <definedName name="input5" localSheetId="5">#REF!</definedName>
    <definedName name="input5" localSheetId="7">#REF!</definedName>
    <definedName name="input5">#REF!</definedName>
    <definedName name="input6" localSheetId="5">#REF!</definedName>
    <definedName name="input6" localSheetId="7">#REF!</definedName>
    <definedName name="input6">#REF!</definedName>
    <definedName name="input7" localSheetId="5">#REF!</definedName>
    <definedName name="input7" localSheetId="7">#REF!</definedName>
    <definedName name="input7">#REF!</definedName>
    <definedName name="input8" localSheetId="5">#REF!</definedName>
    <definedName name="input8" localSheetId="7">#REF!</definedName>
    <definedName name="input8">#REF!</definedName>
    <definedName name="input9" localSheetId="5">#REF!</definedName>
    <definedName name="input9" localSheetId="7">#REF!</definedName>
    <definedName name="input9">#REF!</definedName>
    <definedName name="INVEST" localSheetId="5">#REF!</definedName>
    <definedName name="INVEST" localSheetId="7">#REF!</definedName>
    <definedName name="INVEST">#REF!</definedName>
    <definedName name="ipo" localSheetId="3">#REF!</definedName>
    <definedName name="ipo">#REF!</definedName>
    <definedName name="IQ_ACCOUNT_CHANGE" hidden="1">"c413"</definedName>
    <definedName name="IQ_ACCOUNTS_PAY" hidden="1">"c32"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"c8"</definedName>
    <definedName name="IQ_ACCUM_DEP" hidden="1">"c7"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"c39"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LLOW_BORROW_CONST" hidden="1">"c15"</definedName>
    <definedName name="IQ_ALLOW_CONST" hidden="1">"c16"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"c1471"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UDITOR_NAME" hidden="1">"c1539"</definedName>
    <definedName name="IQ_AUDITOR_OPINION" hidden="1">"c1540"</definedName>
    <definedName name="IQ_AUTO_WRITTEN" hidden="1">"c62"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"c65"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TA" hidden="1">"c88"</definedName>
    <definedName name="IQ_BIG_INT_BEAR_CD" hidden="1">"c89"</definedName>
    <definedName name="IQ_BOARD_MEMBER" hidden="1">"c96"</definedName>
    <definedName name="IQ_BOARD_MEMBER_TITLE" hidden="1">"c97"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"c100"</definedName>
    <definedName name="IQ_BV_SHARE" hidden="1">"c100"</definedName>
    <definedName name="IQ_CAL_Q" hidden="1">"c101"</definedName>
    <definedName name="IQ_CAL_Y" hidden="1">"c102"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"c115"</definedName>
    <definedName name="IQ_CAPITAL_LEASES" hidden="1">"c115"</definedName>
    <definedName name="IQ_CASH" hidden="1">"c118"</definedName>
    <definedName name="IQ_CASH_ACQUIRE_CF" hidden="1">"c1630"</definedName>
    <definedName name="IQ_CASH_CONVERSION" hidden="1">"c117"</definedName>
    <definedName name="IQ_CASH_DUE_BANKS" hidden="1">"c118"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T" hidden="1">"c124"</definedName>
    <definedName name="IQ_CASH_ST_INVEST" hidden="1">"c124"</definedName>
    <definedName name="IQ_CASH_TAXES" hidden="1">"c125"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"c161"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OSEPRICE" hidden="1">"c174"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"c182"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REET1" hidden="1">"c217"</definedName>
    <definedName name="IQ_COMPANY_STREET2" hidden="1">"c218"</definedName>
    <definedName name="IQ_COMPANY_TICKER" hidden="1">"c219"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ST_BORROWINGS" hidden="1">"c225"</definedName>
    <definedName name="IQ_COST_REV" hidden="1">"c226"</definedName>
    <definedName name="IQ_COST_REVENUE" hidden="1">"c226"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>500000</definedName>
    <definedName name="IQ_DAYS_COVER_SHORT" hidden="1">"c1578"</definedName>
    <definedName name="IQ_DAYS_INVENTORY_OUT" hidden="1">"c273"</definedName>
    <definedName name="IQ_DAYS_PAY_OUTST" hidden="1">"c274"</definedName>
    <definedName name="IQ_DAYS_PAYABLE_OUT" hidden="1">"c274"</definedName>
    <definedName name="IQ_DAYS_SALES_OUT" hidden="1">"c275"</definedName>
    <definedName name="IQ_DAYS_SALES_OUTST" hidden="1">"c275"</definedName>
    <definedName name="IQ_DEF_ACQ_CST" hidden="1">"c301"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OTHER_COST" hidden="1">"c284"</definedName>
    <definedName name="IQ_DEF_BENEFIT_ROA" hidden="1">"c285"</definedName>
    <definedName name="IQ_DEF_BENEFIT_SERVICE_COST" hidden="1">"c286"</definedName>
    <definedName name="IQ_DEF_BENEFIT_TOTAL_COST" hidden="1">"c287"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"c313"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INC_TAX" hidden="1">"c315"</definedName>
    <definedName name="IQ_DEFERRED_TAXES" hidden="1">"c147"</definedName>
    <definedName name="IQ_DEMAND_DEP" hidden="1">"c320"</definedName>
    <definedName name="IQ_DEPOSITS_FIN" hidden="1">"c321"</definedName>
    <definedName name="IQ_DEPRE_AMORT" hidden="1">"c247"</definedName>
    <definedName name="IQ_DEPRE_AMORT_SUPPL" hidden="1">"c1593"</definedName>
    <definedName name="IQ_DEPRE_DEPLE" hidden="1">"c261"</definedName>
    <definedName name="IQ_DEPRE_SUPP" hidden="1">"c1443"</definedName>
    <definedName name="IQ_DESCRIPTION_LONG" hidden="1">"c322"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NORMAL_EPS" hidden="1">"c1594"</definedName>
    <definedName name="IQ_DILUT_WEIGHT" hidden="1">"c326"</definedName>
    <definedName name="IQ_DISCONT_OPER" hidden="1">"c333"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V_SHARE" hidden="1">"c330"</definedName>
    <definedName name="IQ_DIVEST_CF" hidden="1">"c331"</definedName>
    <definedName name="IQ_DIVID_SHARE" hidden="1">"c330"</definedName>
    <definedName name="IQ_DIVIDEND_YIELD" hidden="1">"c332"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INT" hidden="1">"c360"</definedName>
    <definedName name="IQ_EBIT_MARGIN" hidden="1">"c359"</definedName>
    <definedName name="IQ_EBIT_OVER_IE" hidden="1">"c360"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"c368"</definedName>
    <definedName name="IQ_EBITDA_INT" hidden="1">"c373"</definedName>
    <definedName name="IQ_EBITDA_MARGIN" hidden="1">"c372"</definedName>
    <definedName name="IQ_EBITDA_OVER_TOTAL_IE" hidden="1">"c373"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ICIENCY_RATIO" hidden="1">"c391"</definedName>
    <definedName name="IQ_EMPLOYEES" hidden="1">"c392"</definedName>
    <definedName name="IQ_ENTERPRISE_VALUE" hidden="1">"c84"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QUITY_AFFIL" hidden="1">"c552"</definedName>
    <definedName name="IQ_EQUITY_METHOD" hidden="1">"c404"</definedName>
    <definedName name="IQ_EQV_OVER_BV" hidden="1">"c1596"</definedName>
    <definedName name="IQ_EQV_OVER_LTM_PRETAX_INC" hidden="1">"c739"</definedName>
    <definedName name="IQ_ESOP_DEBT" hidden="1">"c1597"</definedName>
    <definedName name="IQ_EV_OVER_EMPLOYEE" hidden="1">"c1225"</definedName>
    <definedName name="IQ_EV_OVER_LTM_EBIT" hidden="1">"c1221"</definedName>
    <definedName name="IQ_EV_OVER_LTM_EBITDA" hidden="1">"c1223"</definedName>
    <definedName name="IQ_EV_OVER_LTM_REVENUE" hidden="1">"c1227"</definedName>
    <definedName name="IQ_EXCHANGE" hidden="1">"c405"</definedName>
    <definedName name="IQ_EXERCISE_PRICE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"c413"</definedName>
    <definedName name="IQ_FDIC" hidden="1">"c417"</definedName>
    <definedName name="IQ_FFO" hidden="1">"c1574"</definedName>
    <definedName name="IQ_FH">100000</definedName>
    <definedName name="IQ_FHLB_DEBT" hidden="1">"c423"</definedName>
    <definedName name="IQ_FILINGDATE_BS" hidden="1">"c424"</definedName>
    <definedName name="IQ_FILINGDATE_CF" hidden="1">"c425"</definedName>
    <definedName name="IQ_FILINGDATE_IS" hidden="1">"c426"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"c893"</definedName>
    <definedName name="IQ_FINANCING_CASH_SUPPL" hidden="1">"c899"</definedName>
    <definedName name="IQ_FINISHED_INV" hidden="1">"c438"</definedName>
    <definedName name="IQ_FIRST_YEAR_LIFE" hidden="1">"c439"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"c451"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"c452"</definedName>
    <definedName name="IQ_GOODWILL_NET" hidden="1">"c530"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DIVID" hidden="1">"c192"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ROFIT" hidden="1">"c511"</definedName>
    <definedName name="IQ_GW" hidden="1">"c530"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NC_AFTER_TAX" hidden="1">"c1598"</definedName>
    <definedName name="IQ_INC_AVAIL_EXCL" hidden="1">"c789"</definedName>
    <definedName name="IQ_INC_AVAIL_INCL" hidden="1">"c791"</definedName>
    <definedName name="IQ_INC_BEFORE_TAX" hidden="1">"c386"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S" hidden="1">"c589"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"c907"</definedName>
    <definedName name="IQ_INTEREST_EXP" hidden="1">"c618"</definedName>
    <definedName name="IQ_INTEREST_EXP_NET" hidden="1">"c1450"</definedName>
    <definedName name="IQ_INTEREST_EXP_NON" hidden="1">"c618"</definedName>
    <definedName name="IQ_INTEREST_EXP_SUPPL" hidden="1">"c1460"</definedName>
    <definedName name="IQ_INTEREST_INC" hidden="1">"c769"</definedName>
    <definedName name="IQ_INTEREST_INC_NON" hidden="1">"c619"</definedName>
    <definedName name="IQ_INTEREST_INVEST_INC" hidden="1">"c619"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"c751"</definedName>
    <definedName name="IQ_ISS_STOCK_NET" hidden="1">"c1601"</definedName>
    <definedName name="IQ_LAND" hidden="1">"c645"</definedName>
    <definedName name="IQ_LASTSALEPRICE" hidden="1">"c646"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IFOR" hidden="1">"c655"</definedName>
    <definedName name="IQ_LL" hidden="1">"c656"</definedName>
    <definedName name="IQ_LOAN_LEASE_RECEIV" hidden="1">"c657"</definedName>
    <definedName name="IQ_LOAN_LOSS" hidden="1">"c656"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"c674"</definedName>
    <definedName name="IQ_LONG_TERM_DEBT_OVER_TOTAL_CAP" hidden="1">"c677"</definedName>
    <definedName name="IQ_LONG_TERM_INV" hidden="1">"c697"</definedName>
    <definedName name="IQ_LOSS_LOSS_EXP" hidden="1">"c672"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"c1304"</definedName>
    <definedName name="IQ_LTMMONTH" hidden="1">120000</definedName>
    <definedName name="IQ_MACHINERY" hidden="1">"c711"</definedName>
    <definedName name="IQ_MARKETCAP" hidden="1">"c712"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NTH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TD" hidden="1">800000</definedName>
    <definedName name="IQ_NAMES_REVISION_DATE_" hidden="1">"04/15/2016 20:36:05"</definedName>
    <definedName name="IQ_NET_CHANGE" hidden="1">"c749"</definedName>
    <definedName name="IQ_NET_DEBT" hidden="1">"c1584"</definedName>
    <definedName name="IQ_NET_DEBT_EBITDA" hidden="1">"c750"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INC" hidden="1">"c781"</definedName>
    <definedName name="IQ_NET_INC_BEFORE" hidden="1">"c344"</definedName>
    <definedName name="IQ_NET_INC_CF" hidden="1">"c793"</definedName>
    <definedName name="IQ_NET_INC_MARGIN" hidden="1">"c794"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"c764"</definedName>
    <definedName name="IQ_NET_INTEREST_INC_AFTER_LL" hidden="1">"c1604"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SFAS" hidden="1">"c795"</definedName>
    <definedName name="IQ_NON_ACCRUAL_LOANS" hidden="1">"c796"</definedName>
    <definedName name="IQ_NON_CASH" hidden="1">"c797"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"c801"</definedName>
    <definedName name="IQ_NON_INTEREST_INC" hidden="1">"c802"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"c1176"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OCCUPY_EXP" hidden="1">"c839"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"c362"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ISSUED" hidden="1">"c857"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"c868"</definedName>
    <definedName name="IQ_OTHER_CURRENT_LIAB" hidden="1">"c877"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"c916"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"c946"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"c959"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"c1010"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UTSTANDING_BS_DATE" hidden="1">"c1022"</definedName>
    <definedName name="IQ_OUTSTANDING_FILING_DATE" hidden="1">"c1023"</definedName>
    <definedName name="IQ_PART_TIME" hidden="1">"c1024"</definedName>
    <definedName name="IQ_PAY_ACCRUED" hidden="1">"c8"</definedName>
    <definedName name="IQ_PBV" hidden="1">"c1025"</definedName>
    <definedName name="IQ_PBV_AVG" hidden="1">"c1026"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RATIO" hidden="1">"c1610"</definedName>
    <definedName name="IQ_PENSION" hidden="1">"c1031"</definedName>
    <definedName name="IQ_PERIODDATE" hidden="1">"c1034"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"c1052"</definedName>
    <definedName name="IQ_PREF_TOT" hidden="1">"c1044"</definedName>
    <definedName name="IQ_PREMIUMS_ANNUITY_REV" hidden="1">"c1067"</definedName>
    <definedName name="IQ_PREPAID_EXP" hidden="1">"c1068"</definedName>
    <definedName name="IQ_PREPAID_EXPEN" hidden="1">"c1068"</definedName>
    <definedName name="IQ_PRICE_OVER_BVPS" hidden="1">"c1026"</definedName>
    <definedName name="IQ_PRICE_OVER_LTM_EPS" hidden="1">"c1029"</definedName>
    <definedName name="IQ_PRICEDATE" hidden="1">"c1069"</definedName>
    <definedName name="IQ_PRICING_DATE" hidden="1">"c1613"</definedName>
    <definedName name="IQ_PRIMARY_INDUSTRY" hidden="1">"c1070"</definedName>
    <definedName name="IQ_PRO_FORMA_BASIC_EPS" hidden="1">"c1614"</definedName>
    <definedName name="IQ_PRO_FORMA_DILUT_EPS" hidden="1">"c1615"</definedName>
    <definedName name="IQ_PRO_FORMA_NET_INC" hidden="1">"c795"</definedName>
    <definedName name="IQ_PROFESSIONAL" hidden="1">"c1071"</definedName>
    <definedName name="IQ_PROFESSIONAL_TITLE" hidden="1">"c1072"</definedName>
    <definedName name="IQ_PROPERTY_EXP" hidden="1">"c1073"</definedName>
    <definedName name="IQ_PROPERTY_GROSS" hidden="1">"c518"</definedName>
    <definedName name="IQ_PROPERTY_MGMT_FEE" hidden="1">"c1074"</definedName>
    <definedName name="IQ_PROPERTY_NET" hidden="1">"c829"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"c1059"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"c1090"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NED_EARN" hidden="1">"c1092"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"c1117"</definedName>
    <definedName name="IQ_REV" hidden="1">"c1122"</definedName>
    <definedName name="IQ_REV_BEFORE_LL" hidden="1">"c1123"</definedName>
    <definedName name="IQ_REV_UTI" hidden="1">"c1125"</definedName>
    <definedName name="IQ_REVENUE" hidden="1">"c1122"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ME_STORE" hidden="1">"c1149"</definedName>
    <definedName name="IQ_SAVING_DEP" hidden="1">"c1150"</definedName>
    <definedName name="IQ_SECUR_RECEIV" hidden="1">"c1151"</definedName>
    <definedName name="IQ_SECURITY_BORROW" hidden="1">"c1152"</definedName>
    <definedName name="IQ_SECURITY_OWN" hidden="1">"c1153"</definedName>
    <definedName name="IQ_SECURITY_RESELL" hidden="1">"c1154"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"c83"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"c1197"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CF" hidden="1">"c1203"</definedName>
    <definedName name="IQ_STRIKE_PRICE_ISSUED" hidden="1">"c1645"</definedName>
    <definedName name="IQ_STRIKE_PRICE_OS" hidden="1">"c1646"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X_BENEFIT_OPTIONS" hidden="1">"c1215"</definedName>
    <definedName name="IQ_TAX_EQUIV_NET_INT_INC" hidden="1">"c1216"</definedName>
    <definedName name="IQ_TBV_SHARE" hidden="1">"c1217"</definedName>
    <definedName name="IQ_TEMPLATE" hidden="1">"c1521"</definedName>
    <definedName name="IQ_TENANT" hidden="1">"c1218"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IER_ONE_RATIO" hidden="1">"c1229"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"c1266"</definedName>
    <definedName name="IQ_TOTAL_CASH_FINAN" hidden="1">"c119"</definedName>
    <definedName name="IQ_TOTAL_CASH_INVEST" hidden="1">"c121"</definedName>
    <definedName name="IQ_TOTAL_CASH_OPER" hidden="1">"c122"</definedName>
    <definedName name="IQ_TOTAL_CL" hidden="1">"c1245"</definedName>
    <definedName name="IQ_TOTAL_COMMON" hidden="1">"c1022"</definedName>
    <definedName name="IQ_TOTAL_COMMON_EQUITY" hidden="1">"c1246"</definedName>
    <definedName name="IQ_TOTAL_CURRENT_ASSETS" hidden="1">"c1243"</definedName>
    <definedName name="IQ_TOTAL_CURRENT_LIAB" hidden="1">"c1245"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QUITY" hidden="1">"c1250"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"c1249"</definedName>
    <definedName name="IQ_TOTAL_DEBT_OVER_TOTAL_BV" hidden="1">"c1250"</definedName>
    <definedName name="IQ_TOTAL_DEBT_OVER_TOTAL_CAP" hidden="1">"c1248"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"c591"</definedName>
    <definedName name="IQ_TOTAL_INVENTORY" hidden="1">"c622"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"c1279"</definedName>
    <definedName name="IQ_TOTAL_LIAB_TOTAL_ASSETS" hidden="1">"c1283"</definedName>
    <definedName name="IQ_TOTAL_LONG_DEBT" hidden="1">"c1617"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THER_OPER" hidden="1">"c1289"</definedName>
    <definedName name="IQ_TOTAL_PENSION_ASSETS" hidden="1">"c1290"</definedName>
    <definedName name="IQ_TOTAL_PENSION_EXP" hidden="1">"c1291"</definedName>
    <definedName name="IQ_TOTAL_PENSION_OBLIGATION" hidden="1">"c1292"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UTI" hidden="1">"c1308"</definedName>
    <definedName name="IQ_TOTAL_REVENUE" hidden="1">"c1294"</definedName>
    <definedName name="IQ_TOTAL_SPECIAL" hidden="1">"c1618"</definedName>
    <definedName name="IQ_TOTAL_ST_BORROW" hidden="1">"c1177"</definedName>
    <definedName name="IQ_TOTAL_UNUSUAL" hidden="1">"c1508"</definedName>
    <definedName name="IQ_TRADE_AR" hidden="1">"c40"</definedName>
    <definedName name="IQ_TRADE_PRINCIPAL" hidden="1">"c1309"</definedName>
    <definedName name="IQ_TRADING_ASSETS" hidden="1">"c1310"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"c1311"</definedName>
    <definedName name="IQ_TRUST_INC" hidden="1">"c1319"</definedName>
    <definedName name="IQ_TRUST_PREF" hidden="1">"c1320"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PAID_CLAIMS" hidden="1">"c1330"</definedName>
    <definedName name="IQ_UNREALIZED_GAIN" hidden="1">"c1619"</definedName>
    <definedName name="IQ_US_GAAP" hidden="1">"c1331"</definedName>
    <definedName name="IQ_UTIL_PPE_NET" hidden="1">"c1620"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EEK">50000</definedName>
    <definedName name="IQ_WEIGHTED_AVG_PRICE" hidden="1">"c1334"</definedName>
    <definedName name="IQ_WIP_INV" hidden="1">"c1335"</definedName>
    <definedName name="IQ_WORKMEN_WRITTEN" hidden="1">"c1336"</definedName>
    <definedName name="IQ_YEARHIGH" hidden="1">"c1337"</definedName>
    <definedName name="IQ_YEARLOW" hidden="1">"c1338"</definedName>
    <definedName name="IQ_YTD" hidden="1">3000</definedName>
    <definedName name="IQ_YTDMONTH" hidden="1">130000</definedName>
    <definedName name="IQ_Z_SCORE" hidden="1">"c1339"</definedName>
    <definedName name="ITREE" localSheetId="2">#REF!</definedName>
    <definedName name="ITREE" localSheetId="5">#REF!</definedName>
    <definedName name="ITREE" localSheetId="7">#REF!</definedName>
    <definedName name="ITREE" localSheetId="8">#REF!</definedName>
    <definedName name="ITREE">#REF!</definedName>
    <definedName name="IWORKING" localSheetId="2">#REF!</definedName>
    <definedName name="IWORKING" localSheetId="5">#REF!</definedName>
    <definedName name="IWORKING" localSheetId="7">#REF!</definedName>
    <definedName name="IWORKING">#REF!</definedName>
    <definedName name="jj" localSheetId="3">'Cap 4  - M&amp;M'!jj</definedName>
    <definedName name="jj" localSheetId="5">'Cap 5 - WACC'!jj</definedName>
    <definedName name="jj" localSheetId="7">'Cap 6 - Districom'!jj</definedName>
    <definedName name="jj" localSheetId="8">'Cap 7 - Polaris'!jj</definedName>
    <definedName name="jj">#REF!</definedName>
    <definedName name="kk" localSheetId="3">'Cap 4  - M&amp;M'!kk</definedName>
    <definedName name="kk" localSheetId="5">'Cap 5 - WACC'!kk</definedName>
    <definedName name="kk" localSheetId="7">'Cap 6 - Districom'!kk</definedName>
    <definedName name="kk" localSheetId="8">'Cap 7 - Polaris'!kk</definedName>
    <definedName name="kk">#REF!</definedName>
    <definedName name="LastQry">2</definedName>
    <definedName name="LastSource">"Oracle 7"</definedName>
    <definedName name="LIAB_PEN" localSheetId="2">#REF!</definedName>
    <definedName name="LIAB_PEN" localSheetId="5">#REF!</definedName>
    <definedName name="LIAB_PEN" localSheetId="7">#REF!</definedName>
    <definedName name="LIAB_PEN" localSheetId="8">#REF!</definedName>
    <definedName name="LIAB_PEN">#REF!</definedName>
    <definedName name="ListOffset" hidden="1">1</definedName>
    <definedName name="ma" localSheetId="3">'Cap 4  - M&amp;M'!ma</definedName>
    <definedName name="ma" localSheetId="5">'Cap 5 - WACC'!ma</definedName>
    <definedName name="ma" localSheetId="7">'Cap 6 - Districom'!ma</definedName>
    <definedName name="ma" localSheetId="8">'Cap 7 - Polaris'!ma</definedName>
    <definedName name="ma">#REF!</definedName>
    <definedName name="Macro" localSheetId="3">'Cap 4  - M&amp;M'!Macro</definedName>
    <definedName name="Macro" localSheetId="5">'Cap 5 - WACC'!Macro</definedName>
    <definedName name="Macro" localSheetId="7">'Cap 6 - Districom'!Macro</definedName>
    <definedName name="Macro" localSheetId="8">'Cap 7 - Polaris'!Macro</definedName>
    <definedName name="Macro">#REF!</definedName>
    <definedName name="Macroeconomics" localSheetId="3">'Cap 4  - M&amp;M'!Macroeconomics</definedName>
    <definedName name="Macroeconomics" localSheetId="5">'Cap 5 - WACC'!Macroeconomics</definedName>
    <definedName name="Macroeconomics" localSheetId="7">'Cap 6 - Districom'!Macroeconomics</definedName>
    <definedName name="Macroeconomics" localSheetId="8">'Cap 7 - Polaris'!Macroeconomics</definedName>
    <definedName name="Macroeconomics">#REF!</definedName>
    <definedName name="MACROS" localSheetId="2">#REF!</definedName>
    <definedName name="MACROS" localSheetId="5">#REF!</definedName>
    <definedName name="MACROS" localSheetId="7">#REF!</definedName>
    <definedName name="MACROS" localSheetId="8">#REF!</definedName>
    <definedName name="MACROS">#REF!</definedName>
    <definedName name="MAIN" localSheetId="2">#REF!</definedName>
    <definedName name="MAIN" localSheetId="5">#REF!</definedName>
    <definedName name="MAIN" localSheetId="7">#REF!</definedName>
    <definedName name="MAIN">#REF!</definedName>
    <definedName name="MANUAL" localSheetId="2">#REF!</definedName>
    <definedName name="MANUAL" localSheetId="5">#REF!</definedName>
    <definedName name="MANUAL" localSheetId="7">#REF!</definedName>
    <definedName name="MANUAL">#REF!</definedName>
    <definedName name="MARGIN" localSheetId="5">#REF!</definedName>
    <definedName name="MARGIN" localSheetId="7">#REF!</definedName>
    <definedName name="MARGIN">#REF!</definedName>
    <definedName name="MBASE" localSheetId="5">#REF!</definedName>
    <definedName name="MBASE" localSheetId="7">#REF!</definedName>
    <definedName name="MBASE">#REF!</definedName>
    <definedName name="mc03g.reqarray2" localSheetId="2">{"Price","WIT","TS13","D","11/13/96","11/13/96","H"}</definedName>
    <definedName name="mc03g.reqarray2" localSheetId="3">{"Price","WIT","TS13","D","11/13/96","11/13/96","H"}</definedName>
    <definedName name="mc03g.reqarray2" localSheetId="5">{"Price","WIT","TS13","D","11/13/96","11/13/96","H"}</definedName>
    <definedName name="mc03g.reqarray2" localSheetId="7">{"Price","WIT","TS13","D","11/13/96","11/13/96","H"}</definedName>
    <definedName name="mc03g.reqarray2" localSheetId="8">{"Price","WIT","TS13","D","11/13/96","11/13/96","H"}</definedName>
    <definedName name="mc03g.reqarray2">{"Price","WIT","TS13","D","11/13/96","11/13/96","H"}</definedName>
    <definedName name="MCASHTAX" localSheetId="2">#REF!</definedName>
    <definedName name="MCASHTAX" localSheetId="5">#REF!</definedName>
    <definedName name="MCASHTAX" localSheetId="7">#REF!</definedName>
    <definedName name="MCASHTAX" localSheetId="8">#REF!</definedName>
    <definedName name="MCASHTAX">#REF!</definedName>
    <definedName name="MCOGS" localSheetId="2">#REF!</definedName>
    <definedName name="MCOGS" localSheetId="5">#REF!</definedName>
    <definedName name="MCOGS" localSheetId="7">#REF!</definedName>
    <definedName name="MCOGS">#REF!</definedName>
    <definedName name="MCONSTANT" localSheetId="2">#REF!</definedName>
    <definedName name="MCONSTANT" localSheetId="5">#REF!</definedName>
    <definedName name="MCONSTANT" localSheetId="7">#REF!</definedName>
    <definedName name="MCONSTANT">#REF!</definedName>
    <definedName name="MCOST_CAP" localSheetId="5">#REF!</definedName>
    <definedName name="MCOST_CAP" localSheetId="7">#REF!</definedName>
    <definedName name="MCOST_CAP">#REF!</definedName>
    <definedName name="mcs03g.ReqArray" localSheetId="2">{"IBESD","WWP","I22","N","0","0","H"}</definedName>
    <definedName name="mcs03g.ReqArray" localSheetId="3">{"IBESD","WWP","I22","N","0","0","H"}</definedName>
    <definedName name="mcs03g.ReqArray" localSheetId="5">{"IBESD","WWP","I22","N","0","0","H"}</definedName>
    <definedName name="mcs03g.ReqArray" localSheetId="7">{"IBESD","WWP","I22","N","0","0","H"}</definedName>
    <definedName name="mcs03g.ReqArray" localSheetId="8">{"IBESD","WWP","I22","N","0","0","H"}</definedName>
    <definedName name="mcs03g.ReqArray">{"IBESD","WWP","I22","N","0","0","H"}</definedName>
    <definedName name="mcs03g.ReqArray2" localSheetId="2">{"Price","ICTG","TS131","D","0","0","H"}</definedName>
    <definedName name="mcs03g.ReqArray2" localSheetId="3">{"Price","ICTG","TS131","D","0","0","H"}</definedName>
    <definedName name="mcs03g.ReqArray2" localSheetId="5">{"Price","ICTG","TS131","D","0","0","H"}</definedName>
    <definedName name="mcs03g.ReqArray2" localSheetId="7">{"Price","ICTG","TS131","D","0","0","H"}</definedName>
    <definedName name="mcs03g.ReqArray2" localSheetId="8">{"Price","ICTG","TS131","D","0","0","H"}</definedName>
    <definedName name="mcs03g.ReqArray2">{"Price","ICTG","TS131","D","0","0","H"}</definedName>
    <definedName name="mcs3g.reqarray2" localSheetId="2">{"Price","WIT","TS13","D","11/13/96","11/13/96","H"}</definedName>
    <definedName name="mcs3g.reqarray2" localSheetId="3">{"Price","WIT","TS13","D","11/13/96","11/13/96","H"}</definedName>
    <definedName name="mcs3g.reqarray2" localSheetId="5">{"Price","WIT","TS13","D","11/13/96","11/13/96","H"}</definedName>
    <definedName name="mcs3g.reqarray2" localSheetId="7">{"Price","WIT","TS13","D","11/13/96","11/13/96","H"}</definedName>
    <definedName name="mcs3g.reqarray2" localSheetId="8">{"Price","WIT","TS13","D","11/13/96","11/13/96","H"}</definedName>
    <definedName name="mcs3g.reqarray2">{"Price","WIT","TS13","D","11/13/96","11/13/96","H"}</definedName>
    <definedName name="MDATA_FILE" localSheetId="2">#REF!</definedName>
    <definedName name="MDATA_FILE" localSheetId="5">#REF!</definedName>
    <definedName name="MDATA_FILE" localSheetId="7">#REF!</definedName>
    <definedName name="MDATA_FILE" localSheetId="8">#REF!</definedName>
    <definedName name="MDATA_FILE">#REF!</definedName>
    <definedName name="MDEPRECIATION" localSheetId="2">#REF!</definedName>
    <definedName name="MDEPRECIATION" localSheetId="5">#REF!</definedName>
    <definedName name="MDEPRECIATION" localSheetId="7">#REF!</definedName>
    <definedName name="MDEPRECIATION">#REF!</definedName>
    <definedName name="me">"Button 5"</definedName>
    <definedName name="MFORECAST" localSheetId="2">#REF!</definedName>
    <definedName name="MFORECAST" localSheetId="5">#REF!</definedName>
    <definedName name="MFORECAST" localSheetId="7">#REF!</definedName>
    <definedName name="MFORECAST" localSheetId="8">#REF!</definedName>
    <definedName name="MFORECAST">#REF!</definedName>
    <definedName name="MGOTO" localSheetId="2">#REF!</definedName>
    <definedName name="MGOTO" localSheetId="5">#REF!</definedName>
    <definedName name="MGOTO" localSheetId="7">#REF!</definedName>
    <definedName name="MGOTO">#REF!</definedName>
    <definedName name="MGRATIOS" localSheetId="2">#REF!</definedName>
    <definedName name="MGRATIOS" localSheetId="5">#REF!</definedName>
    <definedName name="MGRATIOS" localSheetId="7">#REF!</definedName>
    <definedName name="MGRATIOS">#REF!</definedName>
    <definedName name="MGROWTH" localSheetId="5">#REF!</definedName>
    <definedName name="MGROWTH" localSheetId="7">#REF!</definedName>
    <definedName name="MGROWTH">#REF!</definedName>
    <definedName name="MHELP" localSheetId="5">#REF!</definedName>
    <definedName name="MHELP" localSheetId="7">#REF!</definedName>
    <definedName name="MHELP">#REF!</definedName>
    <definedName name="MHIST_RATIOS" localSheetId="5">#REF!</definedName>
    <definedName name="MHIST_RATIOS" localSheetId="7">#REF!</definedName>
    <definedName name="MHIST_RATIOS">#REF!</definedName>
    <definedName name="MHISTORICAL" localSheetId="5">#REF!</definedName>
    <definedName name="MHISTORICAL" localSheetId="7">#REF!</definedName>
    <definedName name="MHISTORICAL">#REF!</definedName>
    <definedName name="midyr" localSheetId="2">#REF!</definedName>
    <definedName name="midyr" localSheetId="3">#REF!</definedName>
    <definedName name="midyr" localSheetId="5">#REF!</definedName>
    <definedName name="midyr" localSheetId="7">#REF!</definedName>
    <definedName name="midyr" localSheetId="8">#REF!</definedName>
    <definedName name="midyr">#REF!</definedName>
    <definedName name="MINCREASED" localSheetId="2">#REF!</definedName>
    <definedName name="MINCREASED" localSheetId="5">#REF!</definedName>
    <definedName name="MINCREASED" localSheetId="7">#REF!</definedName>
    <definedName name="MINCREASED" localSheetId="8">#REF!</definedName>
    <definedName name="MINCREASED">#REF!</definedName>
    <definedName name="MINETOTHER" localSheetId="2">#REF!</definedName>
    <definedName name="MINETOTHER" localSheetId="5">#REF!</definedName>
    <definedName name="MINETOTHER" localSheetId="7">#REF!</definedName>
    <definedName name="MINETOTHER">#REF!</definedName>
    <definedName name="MINETPPE" localSheetId="2">#REF!</definedName>
    <definedName name="MINETPPE" localSheetId="5">#REF!</definedName>
    <definedName name="MINETPPE" localSheetId="7">#REF!</definedName>
    <definedName name="MINETPPE">#REF!</definedName>
    <definedName name="minimo" localSheetId="3">#REF!</definedName>
    <definedName name="minimo">#REF!</definedName>
    <definedName name="MINIT" localSheetId="2">#REF!</definedName>
    <definedName name="MINIT" localSheetId="5">#REF!</definedName>
    <definedName name="MINIT" localSheetId="7">#REF!</definedName>
    <definedName name="MINIT" localSheetId="8">#REF!</definedName>
    <definedName name="MINIT">#REF!</definedName>
    <definedName name="MINPUT" localSheetId="2">#REF!</definedName>
    <definedName name="MINPUT" localSheetId="5">#REF!</definedName>
    <definedName name="MINPUT" localSheetId="7">#REF!</definedName>
    <definedName name="MINPUT">#REF!</definedName>
    <definedName name="MINTENSITY" localSheetId="2">#REF!</definedName>
    <definedName name="MINTENSITY" localSheetId="5">#REF!</definedName>
    <definedName name="MINTENSITY" localSheetId="7">#REF!</definedName>
    <definedName name="MINTENSITY">#REF!</definedName>
    <definedName name="MINVESTMENT" localSheetId="5">#REF!</definedName>
    <definedName name="MINVESTMENT" localSheetId="7">#REF!</definedName>
    <definedName name="MINVESTMENT">#REF!</definedName>
    <definedName name="MINVESTYEARS" localSheetId="5">#REF!</definedName>
    <definedName name="MINVESTYEARS" localSheetId="7">#REF!</definedName>
    <definedName name="MINVESTYEARS">#REF!</definedName>
    <definedName name="MIWORKING" localSheetId="5">#REF!</definedName>
    <definedName name="MIWORKING" localSheetId="7">#REF!</definedName>
    <definedName name="MIWORKING">#REF!</definedName>
    <definedName name="MKT_COMP" localSheetId="5">#REF!</definedName>
    <definedName name="MKT_COMP" localSheetId="7">#REF!</definedName>
    <definedName name="MKT_COMP">#REF!</definedName>
    <definedName name="MKT_DEBT" localSheetId="5">#REF!</definedName>
    <definedName name="MKT_DEBT" localSheetId="7">#REF!</definedName>
    <definedName name="MKT_DEBT">#REF!</definedName>
    <definedName name="MMAIN" localSheetId="5">#REF!</definedName>
    <definedName name="MMAIN" localSheetId="7">#REF!</definedName>
    <definedName name="MMAIN">#REF!</definedName>
    <definedName name="MMARGIN" localSheetId="5">#REF!</definedName>
    <definedName name="MMARGIN" localSheetId="7">#REF!</definedName>
    <definedName name="MMARGIN">#REF!</definedName>
    <definedName name="MNETPPE" localSheetId="5">#REF!</definedName>
    <definedName name="MNETPPE" localSheetId="7">#REF!</definedName>
    <definedName name="MNETPPE">#REF!</definedName>
    <definedName name="MNOPLAT" localSheetId="5">#REF!</definedName>
    <definedName name="MNOPLAT" localSheetId="7">#REF!</definedName>
    <definedName name="MNOPLAT">#REF!</definedName>
    <definedName name="Module1.Group8_Click" localSheetId="3">'Cap 4  - M&amp;M'!Module1.Group8_Click</definedName>
    <definedName name="Module1.Group8_Click" localSheetId="5">'Cap 5 - WACC'!Module1.Group8_Click</definedName>
    <definedName name="Module1.Group8_Click" localSheetId="7">'Cap 6 - Districom'!Module1.Group8_Click</definedName>
    <definedName name="Module1.Group8_Click" localSheetId="8">'Cap 7 - Polaris'!Module1.Group8_Click</definedName>
    <definedName name="Module1.Group8_Click">#REF!</definedName>
    <definedName name="Module1.OK" localSheetId="3">'Cap 4  - M&amp;M'!Module1.OK</definedName>
    <definedName name="Module1.OK" localSheetId="5">'Cap 5 - WACC'!Module1.OK</definedName>
    <definedName name="Module1.OK" localSheetId="7">'Cap 6 - Districom'!Module1.OK</definedName>
    <definedName name="Module1.OK" localSheetId="8">'Cap 7 - Polaris'!Module1.OK</definedName>
    <definedName name="Module1.OK">#REF!</definedName>
    <definedName name="MOGOTO" localSheetId="2">#REF!</definedName>
    <definedName name="MOGOTO" localSheetId="5">#REF!</definedName>
    <definedName name="MOGOTO" localSheetId="7">#REF!</definedName>
    <definedName name="MOGOTO" localSheetId="8">#REF!</definedName>
    <definedName name="MOGOTO">#REF!</definedName>
    <definedName name="MONTH" localSheetId="2">#REF!</definedName>
    <definedName name="MONTH" localSheetId="5">#REF!</definedName>
    <definedName name="MONTH" localSheetId="7">#REF!</definedName>
    <definedName name="MONTH">#REF!</definedName>
    <definedName name="MOTHER" localSheetId="2">#REF!</definedName>
    <definedName name="MOTHER" localSheetId="5">#REF!</definedName>
    <definedName name="MOTHER" localSheetId="7">#REF!</definedName>
    <definedName name="MOTHER">#REF!</definedName>
    <definedName name="MPREROIC" localSheetId="5">#REF!</definedName>
    <definedName name="MPREROIC" localSheetId="7">#REF!</definedName>
    <definedName name="MPREROIC">#REF!</definedName>
    <definedName name="MPRINT" localSheetId="5">#REF!</definedName>
    <definedName name="MPRINT" localSheetId="7">#REF!</definedName>
    <definedName name="MPRINT">#REF!</definedName>
    <definedName name="MROIC" localSheetId="5">#REF!</definedName>
    <definedName name="MROIC" localSheetId="7">#REF!</definedName>
    <definedName name="MROIC">#REF!</definedName>
    <definedName name="MROICYEARS" localSheetId="5">#REF!</definedName>
    <definedName name="MROICYEARS" localSheetId="7">#REF!</definedName>
    <definedName name="MROICYEARS">#REF!</definedName>
    <definedName name="MRTREE" localSheetId="5">#REF!</definedName>
    <definedName name="MRTREE" localSheetId="7">#REF!</definedName>
    <definedName name="MRTREE">#REF!</definedName>
    <definedName name="MS" localSheetId="5">#REF!</definedName>
    <definedName name="MS" localSheetId="7">#REF!</definedName>
    <definedName name="MS">#REF!</definedName>
    <definedName name="MSG_A" localSheetId="5">#REF!</definedName>
    <definedName name="MSG_A" localSheetId="7">#REF!</definedName>
    <definedName name="MSG_A">#REF!</definedName>
    <definedName name="MTREE_INVEST" localSheetId="5">#REF!</definedName>
    <definedName name="MTREE_INVEST" localSheetId="7">#REF!</definedName>
    <definedName name="MTREE_INVEST">#REF!</definedName>
    <definedName name="MTURNOVER" localSheetId="5">#REF!</definedName>
    <definedName name="MTURNOVER" localSheetId="7">#REF!</definedName>
    <definedName name="MTURNOVER">#REF!</definedName>
    <definedName name="MVALUE" localSheetId="5">#REF!</definedName>
    <definedName name="MVALUE" localSheetId="7">#REF!</definedName>
    <definedName name="MVALUE">#REF!</definedName>
    <definedName name="MWACC" localSheetId="5">#REF!</definedName>
    <definedName name="MWACC" localSheetId="7">#REF!</definedName>
    <definedName name="MWACC">#REF!</definedName>
    <definedName name="MWINDOW" localSheetId="5">#REF!</definedName>
    <definedName name="MWINDOW" localSheetId="7">#REF!</definedName>
    <definedName name="MWINDOW">#REF!</definedName>
    <definedName name="MWORKING" localSheetId="5">#REF!</definedName>
    <definedName name="MWORKING" localSheetId="7">#REF!</definedName>
    <definedName name="MWORKING">#REF!</definedName>
    <definedName name="name2" localSheetId="3">'Cap 4  - M&amp;M'!name2</definedName>
    <definedName name="name2" localSheetId="5">'Cap 5 - WACC'!name2</definedName>
    <definedName name="name2" localSheetId="7">'Cap 6 - Districom'!name2</definedName>
    <definedName name="name2" localSheetId="8">'Cap 7 - Polaris'!name2</definedName>
    <definedName name="name2">#REF!</definedName>
    <definedName name="name3" localSheetId="3">'Cap 4  - M&amp;M'!name3</definedName>
    <definedName name="name3" localSheetId="5">'Cap 5 - WACC'!name3</definedName>
    <definedName name="name3" localSheetId="7">'Cap 6 - Districom'!name3</definedName>
    <definedName name="name3" localSheetId="8">'Cap 7 - Polaris'!name3</definedName>
    <definedName name="name3">#REF!</definedName>
    <definedName name="NETPPE" localSheetId="2">#REF!</definedName>
    <definedName name="NETPPE" localSheetId="5">#REF!</definedName>
    <definedName name="NETPPE" localSheetId="7">#REF!</definedName>
    <definedName name="NETPPE" localSheetId="8">#REF!</definedName>
    <definedName name="NETPPE">#REF!</definedName>
    <definedName name="NEW_INVESTMENT" localSheetId="2">#REF!</definedName>
    <definedName name="NEW_INVESTMENT" localSheetId="5">#REF!</definedName>
    <definedName name="NEW_INVESTMENT" localSheetId="7">#REF!</definedName>
    <definedName name="NEW_INVESTMENT">#REF!</definedName>
    <definedName name="NewName" localSheetId="3">'Cap 4  - M&amp;M'!NewName</definedName>
    <definedName name="NewName" localSheetId="5">'Cap 5 - WACC'!NewName</definedName>
    <definedName name="NewName" localSheetId="7">'Cap 6 - Districom'!NewName</definedName>
    <definedName name="NewName" localSheetId="8">'Cap 7 - Polaris'!NewName</definedName>
    <definedName name="NewName">#REF!</definedName>
    <definedName name="NNOPLAT" localSheetId="2">#REF!</definedName>
    <definedName name="NNOPLAT" localSheetId="5">#REF!</definedName>
    <definedName name="NNOPLAT" localSheetId="7">#REF!</definedName>
    <definedName name="NNOPLAT" localSheetId="8">#REF!</definedName>
    <definedName name="NNOPLAT">#REF!</definedName>
    <definedName name="nominal" localSheetId="3">#REF!</definedName>
    <definedName name="nominal">#REF!</definedName>
    <definedName name="NOPLAT" localSheetId="2">#REF!</definedName>
    <definedName name="NOPLAT" localSheetId="5">#REF!</definedName>
    <definedName name="NOPLAT" localSheetId="7">#REF!</definedName>
    <definedName name="NOPLAT" localSheetId="8">#REF!</definedName>
    <definedName name="NOPLAT">#REF!</definedName>
    <definedName name="NOPLATP" localSheetId="2">#REF!</definedName>
    <definedName name="NOPLATP" localSheetId="5">#REF!</definedName>
    <definedName name="NOPLATP" localSheetId="7">#REF!</definedName>
    <definedName name="NOPLATP">#REF!</definedName>
    <definedName name="notpay" localSheetId="3">#REF!</definedName>
    <definedName name="notpay">#REF!</definedName>
    <definedName name="NvsEndTime">37210.4481587963</definedName>
    <definedName name="OPERATING" localSheetId="2">#REF!</definedName>
    <definedName name="OPERATING" localSheetId="5">#REF!</definedName>
    <definedName name="OPERATING" localSheetId="7">#REF!</definedName>
    <definedName name="OPERATING" localSheetId="8">#REF!</definedName>
    <definedName name="OPERATING">#REF!</definedName>
    <definedName name="OTHER" localSheetId="2">#REF!</definedName>
    <definedName name="OTHER" localSheetId="5">#REF!</definedName>
    <definedName name="OTHER" localSheetId="7">#REF!</definedName>
    <definedName name="OTHER">#REF!</definedName>
    <definedName name="PBASE" localSheetId="2">#REF!</definedName>
    <definedName name="PBASE" localSheetId="5">#REF!</definedName>
    <definedName name="PBASE" localSheetId="7">#REF!</definedName>
    <definedName name="PBASE">#REF!</definedName>
    <definedName name="PCASHTAX" localSheetId="5">#REF!</definedName>
    <definedName name="PCASHTAX" localSheetId="7">#REF!</definedName>
    <definedName name="PCASHTAX">#REF!</definedName>
    <definedName name="PCOGS" localSheetId="5">#REF!</definedName>
    <definedName name="PCOGS" localSheetId="7">#REF!</definedName>
    <definedName name="PCOGS">#REF!</definedName>
    <definedName name="PCONSTANT" localSheetId="5">#REF!</definedName>
    <definedName name="PCONSTANT" localSheetId="7">#REF!</definedName>
    <definedName name="PCONSTANT">#REF!</definedName>
    <definedName name="PDEPRECIATION" localSheetId="5">#REF!</definedName>
    <definedName name="PDEPRECIATION" localSheetId="7">#REF!</definedName>
    <definedName name="PDEPRECIATION">#REF!</definedName>
    <definedName name="perpetgrrate" localSheetId="3">#REF!</definedName>
    <definedName name="perpetgrrate">#REF!</definedName>
    <definedName name="PEVA" localSheetId="2">#REF!</definedName>
    <definedName name="PEVA" localSheetId="5">#REF!</definedName>
    <definedName name="PEVA" localSheetId="7">#REF!</definedName>
    <definedName name="PEVA" localSheetId="8">#REF!</definedName>
    <definedName name="PEVA">#REF!</definedName>
    <definedName name="PGROWTH" localSheetId="2">#REF!</definedName>
    <definedName name="PGROWTH" localSheetId="5">#REF!</definedName>
    <definedName name="PGROWTH" localSheetId="7">#REF!</definedName>
    <definedName name="PGROWTH">#REF!</definedName>
    <definedName name="PHISTORICAL" localSheetId="2">#REF!</definedName>
    <definedName name="PHISTORICAL" localSheetId="5">#REF!</definedName>
    <definedName name="PHISTORICAL" localSheetId="7">#REF!</definedName>
    <definedName name="PHISTORICAL">#REF!</definedName>
    <definedName name="piaui" localSheetId="3">#REF!</definedName>
    <definedName name="piaui">#REF!</definedName>
    <definedName name="PINCREASED" localSheetId="2">#REF!</definedName>
    <definedName name="PINCREASED" localSheetId="5">#REF!</definedName>
    <definedName name="PINCREASED" localSheetId="7">#REF!</definedName>
    <definedName name="PINCREASED" localSheetId="8">#REF!</definedName>
    <definedName name="PINCREASED">#REF!</definedName>
    <definedName name="PINETOTHER" localSheetId="2">#REF!</definedName>
    <definedName name="PINETOTHER" localSheetId="5">#REF!</definedName>
    <definedName name="PINETOTHER" localSheetId="7">#REF!</definedName>
    <definedName name="PINETOTHER">#REF!</definedName>
    <definedName name="PINETPPE" localSheetId="2">#REF!</definedName>
    <definedName name="PINETPPE" localSheetId="5">#REF!</definedName>
    <definedName name="PINETPPE" localSheetId="7">#REF!</definedName>
    <definedName name="PINETPPE">#REF!</definedName>
    <definedName name="PINTENSITY" localSheetId="5">#REF!</definedName>
    <definedName name="PINTENSITY" localSheetId="7">#REF!</definedName>
    <definedName name="PINTENSITY">#REF!</definedName>
    <definedName name="PINVESTMENT" localSheetId="5">#REF!</definedName>
    <definedName name="PINVESTMENT" localSheetId="7">#REF!</definedName>
    <definedName name="PINVESTMENT">#REF!</definedName>
    <definedName name="PINVESTYEARS" localSheetId="5">#REF!</definedName>
    <definedName name="PINVESTYEARS" localSheetId="7">#REF!</definedName>
    <definedName name="PINVESTYEARS">#REF!</definedName>
    <definedName name="PIWORKING" localSheetId="5">#REF!</definedName>
    <definedName name="PIWORKING" localSheetId="7">#REF!</definedName>
    <definedName name="PIWORKING">#REF!</definedName>
    <definedName name="plpdfoepa" localSheetId="2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plpdfoepa" localSheetId="3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plpdfoepa" localSheetId="5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plpdfoepa" localSheetId="7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plpdfoepa" localSheetId="8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plpdfoepa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PMARGIN" localSheetId="2">#REF!</definedName>
    <definedName name="PMARGIN" localSheetId="5">#REF!</definedName>
    <definedName name="PMARGIN" localSheetId="7">#REF!</definedName>
    <definedName name="PMARGIN" localSheetId="8">#REF!</definedName>
    <definedName name="PMARGIN">#REF!</definedName>
    <definedName name="PNETPPE" localSheetId="2">#REF!</definedName>
    <definedName name="PNETPPE" localSheetId="5">#REF!</definedName>
    <definedName name="PNETPPE" localSheetId="7">#REF!</definedName>
    <definedName name="PNETPPE">#REF!</definedName>
    <definedName name="PNOPLAT" localSheetId="2">#REF!</definedName>
    <definedName name="PNOPLAT" localSheetId="5">#REF!</definedName>
    <definedName name="PNOPLAT" localSheetId="7">#REF!</definedName>
    <definedName name="PNOPLAT">#REF!</definedName>
    <definedName name="POTHER" localSheetId="5">#REF!</definedName>
    <definedName name="POTHER" localSheetId="7">#REF!</definedName>
    <definedName name="POTHER">#REF!</definedName>
    <definedName name="ppe_print" localSheetId="3">#REF!</definedName>
    <definedName name="ppe_print" localSheetId="5">#REF!</definedName>
    <definedName name="ppe_print" localSheetId="7">#REF!</definedName>
    <definedName name="ppe_print" localSheetId="8">#REF!</definedName>
    <definedName name="ppe_print">#REF!</definedName>
    <definedName name="PPREROIC" localSheetId="5">#REF!</definedName>
    <definedName name="PPREROIC" localSheetId="7">#REF!</definedName>
    <definedName name="PPREROIC">#REF!</definedName>
    <definedName name="prange" localSheetId="2">[0]!F_INCOME,'Cap 2 - Topázio'!F_BALANCE,[0]!f_free_cash_flow,[0]!f_ratios,[0]!f_valuation</definedName>
    <definedName name="prange" localSheetId="5">'Cap 5 - WACC'!F_INCOME,'Cap 5 - WACC'!F_BALANCE,'Cap 5 - WACC'!f_free_cash_flow,'Cap 5 - WACC'!f_ratios,'Cap 5 - WACC'!f_valuation</definedName>
    <definedName name="prange" localSheetId="7">'Cap 6 - Districom'!F_INCOME,'Cap 6 - Districom'!F_BALANCE,'Cap 6 - Districom'!f_free_cash_flow,'Cap 6 - Districom'!f_ratios,'Cap 6 - Districom'!f_valuation</definedName>
    <definedName name="prange" localSheetId="8">F_INCOME,'Cap 7 - Polaris'!F_BALANCE,f_free_cash_flow,f_ratios,f_valuation</definedName>
    <definedName name="prange">F_INCOME,F_BALANCE,f_free_cash_flow,f_ratios,f_valuation</definedName>
    <definedName name="PREROIC" localSheetId="2">#REF!</definedName>
    <definedName name="PREROIC" localSheetId="5">#REF!</definedName>
    <definedName name="PREROIC" localSheetId="7">#REF!</definedName>
    <definedName name="PREROIC" localSheetId="8">#REF!</definedName>
    <definedName name="PREROIC">#REF!</definedName>
    <definedName name="PRICE" localSheetId="2">#REF!</definedName>
    <definedName name="PRICE" localSheetId="5">#REF!</definedName>
    <definedName name="PRICE" localSheetId="7">#REF!</definedName>
    <definedName name="PRICE">#REF!</definedName>
    <definedName name="Print_Titles_MI" localSheetId="2">#REF!,#REF!</definedName>
    <definedName name="Print_Titles_MI" localSheetId="5">#REF!,#REF!</definedName>
    <definedName name="Print_Titles_MI" localSheetId="7">#REF!,#REF!</definedName>
    <definedName name="Print_Titles_MI" localSheetId="8">#REF!,#REF!</definedName>
    <definedName name="Print_Titles_MI">#REF!,#REF!</definedName>
    <definedName name="PROIC" localSheetId="2">#REF!</definedName>
    <definedName name="PROIC" localSheetId="5">#REF!</definedName>
    <definedName name="PROIC" localSheetId="7">#REF!</definedName>
    <definedName name="PROIC" localSheetId="8">#REF!</definedName>
    <definedName name="PROIC">#REF!</definedName>
    <definedName name="PROICF" localSheetId="2">#REF!</definedName>
    <definedName name="PROICF" localSheetId="5">#REF!</definedName>
    <definedName name="PROICF" localSheetId="7">#REF!</definedName>
    <definedName name="PROICF">#REF!</definedName>
    <definedName name="PROICYEARS" localSheetId="2">#REF!</definedName>
    <definedName name="PROICYEARS" localSheetId="5">#REF!</definedName>
    <definedName name="PROICYEARS" localSheetId="7">#REF!</definedName>
    <definedName name="PROICYEARS">#REF!</definedName>
    <definedName name="ProImportExport.ImportFile" localSheetId="3">'Cap 4  - M&amp;M'!ProImportExport.ImportFile</definedName>
    <definedName name="ProImportExport.ImportFile" localSheetId="5">'Cap 5 - WACC'!ProImportExport.ImportFile</definedName>
    <definedName name="ProImportExport.ImportFile" localSheetId="7">'Cap 6 - Districom'!ProImportExport.ImportFile</definedName>
    <definedName name="ProImportExport.ImportFile" localSheetId="8">'Cap 7 - Polaris'!ProImportExport.ImportFile</definedName>
    <definedName name="ProImportExport.ImportFile">#REF!</definedName>
    <definedName name="ProImportExport.SaveNewFile" localSheetId="3">'Cap 4  - M&amp;M'!ProImportExport.SaveNewFile</definedName>
    <definedName name="ProImportExport.SaveNewFile" localSheetId="5">'Cap 5 - WACC'!ProImportExport.SaveNewFile</definedName>
    <definedName name="ProImportExport.SaveNewFile" localSheetId="7">'Cap 6 - Districom'!ProImportExport.SaveNewFile</definedName>
    <definedName name="ProImportExport.SaveNewFile" localSheetId="8">'Cap 7 - Polaris'!ProImportExport.SaveNewFile</definedName>
    <definedName name="ProImportExport.SaveNewFile">#REF!</definedName>
    <definedName name="PSG_A" localSheetId="2">#REF!</definedName>
    <definedName name="PSG_A" localSheetId="5">#REF!</definedName>
    <definedName name="PSG_A" localSheetId="7">#REF!</definedName>
    <definedName name="PSG_A" localSheetId="8">#REF!</definedName>
    <definedName name="PSG_A">#REF!</definedName>
    <definedName name="PTURNOVER" localSheetId="2">#REF!</definedName>
    <definedName name="PTURNOVER" localSheetId="5">#REF!</definedName>
    <definedName name="PTURNOVER" localSheetId="7">#REF!</definedName>
    <definedName name="PTURNOVER">#REF!</definedName>
    <definedName name="PWORKING" localSheetId="2">#REF!</definedName>
    <definedName name="PWORKING" localSheetId="5">#REF!</definedName>
    <definedName name="PWORKING" localSheetId="7">#REF!</definedName>
    <definedName name="PWORKING">#REF!</definedName>
    <definedName name="qexlQryInfo" localSheetId="2">{" ","","","","",""}</definedName>
    <definedName name="qexlQryInfo" localSheetId="3">{" ","","","","",""}</definedName>
    <definedName name="qexlQryInfo" localSheetId="5">{" ","","","","",""}</definedName>
    <definedName name="qexlQryInfo" localSheetId="7">{" ","","","","",""}</definedName>
    <definedName name="qexlQryInfo" localSheetId="8">{" ","","","","",""}</definedName>
    <definedName name="qexlQryInfo">{" ","","","","",""}</definedName>
    <definedName name="R_" localSheetId="2">#REF!</definedName>
    <definedName name="R_" localSheetId="5">#REF!</definedName>
    <definedName name="R_" localSheetId="7">#REF!</definedName>
    <definedName name="R_" localSheetId="8">#REF!</definedName>
    <definedName name="R_">#REF!</definedName>
    <definedName name="ratios" localSheetId="2">#REF!</definedName>
    <definedName name="ratios" localSheetId="5">#REF!</definedName>
    <definedName name="ratios" localSheetId="7">#REF!</definedName>
    <definedName name="ratios">#REF!</definedName>
    <definedName name="RBORDER" localSheetId="2">#REF!</definedName>
    <definedName name="RBORDER" localSheetId="5">#REF!</definedName>
    <definedName name="RBORDER" localSheetId="7">#REF!</definedName>
    <definedName name="RBORDER">#REF!</definedName>
    <definedName name="RESULTS" localSheetId="5">#REF!</definedName>
    <definedName name="RESULTS" localSheetId="7">#REF!</definedName>
    <definedName name="RESULTS">#REF!</definedName>
    <definedName name="roic" localSheetId="5">#REF!</definedName>
    <definedName name="roic" localSheetId="7">#REF!</definedName>
    <definedName name="roic">#REF!</definedName>
    <definedName name="roic_print" localSheetId="5">#REF!</definedName>
    <definedName name="roic_print" localSheetId="7">#REF!</definedName>
    <definedName name="roic_print">#REF!</definedName>
    <definedName name="ROICF" localSheetId="5">#REF!</definedName>
    <definedName name="ROICF" localSheetId="7">#REF!</definedName>
    <definedName name="ROICF">#REF!</definedName>
    <definedName name="ROICYEARS" localSheetId="5">#REF!</definedName>
    <definedName name="ROICYEARS" localSheetId="7">#REF!</definedName>
    <definedName name="ROICYEARS">#REF!</definedName>
    <definedName name="RRROIC" localSheetId="5">#REF!</definedName>
    <definedName name="RRROIC" localSheetId="7">#REF!</definedName>
    <definedName name="RRROIC">#REF!</definedName>
    <definedName name="rrrr" localSheetId="3">'Cap 4  - M&amp;M'!rrrr</definedName>
    <definedName name="rrrr" localSheetId="5">'Cap 5 - WACC'!rrrr</definedName>
    <definedName name="rrrr" localSheetId="7">'Cap 6 - Districom'!rrrr</definedName>
    <definedName name="rrrr" localSheetId="8">'Cap 7 - Polaris'!rrrr</definedName>
    <definedName name="rrrr">#REF!</definedName>
    <definedName name="RTREE" localSheetId="2">#REF!</definedName>
    <definedName name="RTREE" localSheetId="5">#REF!</definedName>
    <definedName name="RTREE" localSheetId="7">#REF!</definedName>
    <definedName name="RTREE" localSheetId="8">#REF!</definedName>
    <definedName name="RTREE">#REF!</definedName>
    <definedName name="s" localSheetId="3">'Cap 4  - M&amp;M'!s</definedName>
    <definedName name="s" localSheetId="5">'Cap 5 - WACC'!s</definedName>
    <definedName name="s" localSheetId="7">'Cap 6 - Districom'!s</definedName>
    <definedName name="s" localSheetId="8">'Cap 7 - Polaris'!s</definedName>
    <definedName name="s">#REF!</definedName>
    <definedName name="SaveNewFile" localSheetId="3">'Cap 4  - M&amp;M'!SaveNewFile</definedName>
    <definedName name="SaveNewFile" localSheetId="5">'Cap 5 - WACC'!SaveNewFile</definedName>
    <definedName name="SaveNewFile" localSheetId="7">'Cap 6 - Districom'!SaveNewFile</definedName>
    <definedName name="SaveNewFile" localSheetId="8">'Cap 7 - Polaris'!SaveNewFile</definedName>
    <definedName name="SaveNewFile">#REF!</definedName>
    <definedName name="savenewfile2" localSheetId="3">'Cap 4  - M&amp;M'!savenewfile2</definedName>
    <definedName name="savenewfile2" localSheetId="5">'Cap 5 - WACC'!savenewfile2</definedName>
    <definedName name="savenewfile2" localSheetId="7">'Cap 6 - Districom'!savenewfile2</definedName>
    <definedName name="savenewfile2" localSheetId="8">'Cap 7 - Polaris'!savenewfile2</definedName>
    <definedName name="savenewfile2">#REF!</definedName>
    <definedName name="Sensibilidade1" localSheetId="3">#REF!,#REF!</definedName>
    <definedName name="Sensibilidade1">#REF!,#REF!</definedName>
    <definedName name="Set">" "</definedName>
    <definedName name="SG_A" localSheetId="2">#REF!</definedName>
    <definedName name="SG_A" localSheetId="5">#REF!</definedName>
    <definedName name="SG_A" localSheetId="7">#REF!</definedName>
    <definedName name="SG_A" localSheetId="8">#REF!</definedName>
    <definedName name="SG_A">#REF!</definedName>
    <definedName name="SHARES" localSheetId="2">#REF!</definedName>
    <definedName name="SHARES" localSheetId="5">#REF!</definedName>
    <definedName name="SHARES" localSheetId="7">#REF!</definedName>
    <definedName name="SHARES">#REF!</definedName>
    <definedName name="SPWS_WBID">"E0493452-99D2-45C2-811E-6A23CE86E9A3"</definedName>
    <definedName name="ssssss" localSheetId="3">'Cap 4  - M&amp;M'!ssssss</definedName>
    <definedName name="ssssss" localSheetId="5">'Cap 5 - WACC'!ssssss</definedName>
    <definedName name="ssssss" localSheetId="7">'Cap 6 - Districom'!ssssss</definedName>
    <definedName name="ssssss" localSheetId="8">'Cap 7 - Polaris'!ssssss</definedName>
    <definedName name="ssssss">#REF!</definedName>
    <definedName name="STOCKOP" localSheetId="2">#REF!</definedName>
    <definedName name="STOCKOP" localSheetId="5">#REF!</definedName>
    <definedName name="STOCKOP" localSheetId="7">#REF!</definedName>
    <definedName name="STOCKOP" localSheetId="8">#REF!</definedName>
    <definedName name="STOCKOP">#REF!</definedName>
    <definedName name="SUP_CALC" localSheetId="2">#REF!</definedName>
    <definedName name="SUP_CALC" localSheetId="5">#REF!</definedName>
    <definedName name="SUP_CALC" localSheetId="7">#REF!</definedName>
    <definedName name="SUP_CALC">#REF!</definedName>
    <definedName name="teste" localSheetId="3">'Cap 4  - M&amp;M'!teste</definedName>
    <definedName name="teste" localSheetId="5">'Cap 5 - WACC'!teste</definedName>
    <definedName name="teste" localSheetId="7">'Cap 6 - Districom'!teste</definedName>
    <definedName name="teste" localSheetId="8">'Cap 7 - Polaris'!teste</definedName>
    <definedName name="teste">#REF!</definedName>
    <definedName name="teste0" localSheetId="3">'Cap 4  - M&amp;M'!teste0</definedName>
    <definedName name="teste0" localSheetId="5">'Cap 5 - WACC'!teste0</definedName>
    <definedName name="teste0" localSheetId="7">'Cap 6 - Districom'!teste0</definedName>
    <definedName name="teste0" localSheetId="8">'Cap 7 - Polaris'!teste0</definedName>
    <definedName name="teste0">#REF!</definedName>
    <definedName name="teste2" localSheetId="3">'Cap 4  - M&amp;M'!teste2</definedName>
    <definedName name="teste2" localSheetId="5">'Cap 5 - WACC'!teste2</definedName>
    <definedName name="teste2" localSheetId="7">'Cap 6 - Districom'!teste2</definedName>
    <definedName name="teste2" localSheetId="8">'Cap 7 - Polaris'!teste2</definedName>
    <definedName name="teste2">#REF!</definedName>
    <definedName name="teste3" localSheetId="3">'Cap 4  - M&amp;M'!teste3</definedName>
    <definedName name="teste3" localSheetId="5">'Cap 5 - WACC'!teste3</definedName>
    <definedName name="teste3" localSheetId="7">'Cap 6 - Districom'!teste3</definedName>
    <definedName name="teste3" localSheetId="8">'Cap 7 - Polaris'!teste3</definedName>
    <definedName name="teste3">#REF!</definedName>
    <definedName name="Ticker">""</definedName>
    <definedName name="titles" localSheetId="2">#REF!</definedName>
    <definedName name="titles" localSheetId="5">#REF!</definedName>
    <definedName name="titles" localSheetId="7">#REF!</definedName>
    <definedName name="titles">#REF!</definedName>
    <definedName name="_xlnm.Print_Titles" localSheetId="3">#REF!,#REF!</definedName>
    <definedName name="_xlnm.Print_Titles">#REF!,#REF!</definedName>
    <definedName name="TREE_INVEST" localSheetId="2">#REF!</definedName>
    <definedName name="TREE_INVEST" localSheetId="5">#REF!</definedName>
    <definedName name="TREE_INVEST" localSheetId="7">#REF!</definedName>
    <definedName name="TREE_INVEST">#REF!</definedName>
    <definedName name="TURNOVER" localSheetId="5">#REF!</definedName>
    <definedName name="TURNOVER" localSheetId="7">#REF!</definedName>
    <definedName name="TURNOVER">#REF!</definedName>
    <definedName name="txrate" localSheetId="3">#REF!</definedName>
    <definedName name="txrate">#REF!</definedName>
    <definedName name="U.a" localSheetId="2">{"IBESD","WWP","I22","N","0","0","H"}</definedName>
    <definedName name="U.a" localSheetId="3">{"IBESD","WWP","I22","N","0","0","H"}</definedName>
    <definedName name="U.a" localSheetId="5">{"IBESD","WWP","I22","N","0","0","H"}</definedName>
    <definedName name="U.a" localSheetId="7">{"IBESD","WWP","I22","N","0","0","H"}</definedName>
    <definedName name="U.a" localSheetId="8">{"IBESD","WWP","I22","N","0","0","H"}</definedName>
    <definedName name="U.a">{"IBESD","WWP","I22","N","0","0","H"}</definedName>
    <definedName name="U.AxesFormat" localSheetId="3">'Cap 4  - M&amp;M'!U.AxesFormat</definedName>
    <definedName name="U.AxesFormat" localSheetId="5">'Cap 5 - WACC'!U.AxesFormat</definedName>
    <definedName name="U.AxesFormat" localSheetId="7">'Cap 6 - Districom'!U.AxesFormat</definedName>
    <definedName name="U.AxesFormat" localSheetId="8">'Cap 7 - Polaris'!U.AxesFormat</definedName>
    <definedName name="U.AxesFormat">#REF!</definedName>
    <definedName name="U.Choices_Wrapper" localSheetId="3">'Cap 4  - M&amp;M'!U.Choices_Wrapper</definedName>
    <definedName name="U.Choices_Wrapper" localSheetId="5">'Cap 5 - WACC'!U.Choices_Wrapper</definedName>
    <definedName name="U.Choices_Wrapper" localSheetId="7">'Cap 6 - Districom'!U.Choices_Wrapper</definedName>
    <definedName name="U.Choices_Wrapper" localSheetId="8">'Cap 7 - Polaris'!U.Choices_Wrapper</definedName>
    <definedName name="U.Choices_Wrapper">#REF!</definedName>
    <definedName name="UE">#REF!</definedName>
    <definedName name="VAL_SUM" localSheetId="2">#REF!</definedName>
    <definedName name="VAL_SUM" localSheetId="5">#REF!</definedName>
    <definedName name="VAL_SUM" localSheetId="7">#REF!</definedName>
    <definedName name="VAL_SUM" localSheetId="8">#REF!</definedName>
    <definedName name="VAL_SUM">#REF!</definedName>
    <definedName name="valuation" localSheetId="2">#REF!</definedName>
    <definedName name="valuation" localSheetId="5">#REF!</definedName>
    <definedName name="valuation" localSheetId="7">#REF!</definedName>
    <definedName name="valuation">#REF!</definedName>
    <definedName name="VALUE" localSheetId="2">#REF!</definedName>
    <definedName name="VALUE" localSheetId="5">#REF!</definedName>
    <definedName name="VALUE" localSheetId="7">#REF!</definedName>
    <definedName name="VALUE">#REF!</definedName>
    <definedName name="VERSION" localSheetId="5">#REF!</definedName>
    <definedName name="VERSION" localSheetId="7">#REF!</definedName>
    <definedName name="VERSION">#REF!</definedName>
    <definedName name="VEVA" localSheetId="5">#REF!</definedName>
    <definedName name="VEVA" localSheetId="7">#REF!</definedName>
    <definedName name="VEVA">#REF!</definedName>
    <definedName name="WACC" localSheetId="5">#REF!</definedName>
    <definedName name="WACC" localSheetId="7">#REF!</definedName>
    <definedName name="WACC">#REF!</definedName>
    <definedName name="WORKING" localSheetId="5">#REF!</definedName>
    <definedName name="WORKING" localSheetId="7">#REF!</definedName>
    <definedName name="WORKING">#REF!</definedName>
    <definedName name="wrn.Print._.All._.A4." localSheetId="2" hidden="1">{"Valuation",#N/A,TRUE,"Valuation Summary";"Financial Statements",#N/A,TRUE,"Results";"Results",#N/A,TRUE,"Results";"Ratios",#N/A,TRUE,"Results";"Historical data",#N/A,TRUE,"Historical Data";"Forecast inputs",#N/A,TRUE,"Forecast Drivers"}</definedName>
    <definedName name="wrn.Print._.All._.A4." localSheetId="5" hidden="1">{"Valuation",#N/A,TRUE,"Valuation Summary";"Financial Statements",#N/A,TRUE,"Results";"Results",#N/A,TRUE,"Results";"Ratios",#N/A,TRUE,"Results";"Historical data",#N/A,TRUE,"Historical Data";"Forecast inputs",#N/A,TRUE,"Forecast Drivers"}</definedName>
    <definedName name="wrn.Print._.All._.A4." localSheetId="7" hidden="1">{"Valuation",#N/A,TRUE,"Valuation Summary";"Financial Statements",#N/A,TRUE,"Results";"Results",#N/A,TRUE,"Results";"Ratios",#N/A,TRUE,"Results";"Historical data",#N/A,TRUE,"Historical Data";"Forecast inputs",#N/A,TRUE,"Forecast Drivers"}</definedName>
    <definedName name="wrn.Print._.All._.A4." localSheetId="8" hidden="1">{"Valuation",#N/A,TRUE,"Valuation Summary";"Financial Statements",#N/A,TRUE,"Results";"Results",#N/A,TRUE,"Results";"Ratios",#N/A,TRUE,"Results";"Historical data",#N/A,TRUE,"Historical Data";"Forecast inputs",#N/A,TRUE,"Forecast Drivers"}</definedName>
    <definedName name="wrn.Print._.All._.A4." hidden="1">{"Valuation",#N/A,TRUE,"Valuation Summary";"Financial Statements",#N/A,TRUE,"Results";"Results",#N/A,TRUE,"Results";"Ratios",#N/A,TRUE,"Results";"Historical data",#N/A,TRUE,"Historical Data";"Forecast inputs",#N/A,TRUE,"Forecast Drivers"}</definedName>
    <definedName name="wrn.Print._.All._.Letter." localSheetId="2" hidden="1">{"Valuation Letter",#N/A,TRUE,"Valuation Summary";"Financial Statements Letter",#N/A,TRUE,"Results";"Results Letter",#N/A,TRUE,"Results";"Ratios Letter",#N/A,TRUE,"Results";"Historical data Letter",#N/A,TRUE,"Historical Data";"Forecast inputs Letter",#N/A,TRUE,"Forecast Drivers"}</definedName>
    <definedName name="wrn.Print._.All._.Letter." localSheetId="5" hidden="1">{"Valuation Letter",#N/A,TRUE,"Valuation Summary";"Financial Statements Letter",#N/A,TRUE,"Results";"Results Letter",#N/A,TRUE,"Results";"Ratios Letter",#N/A,TRUE,"Results";"Historical data Letter",#N/A,TRUE,"Historical Data";"Forecast inputs Letter",#N/A,TRUE,"Forecast Drivers"}</definedName>
    <definedName name="wrn.Print._.All._.Letter." localSheetId="7" hidden="1">{"Valuation Letter",#N/A,TRUE,"Valuation Summary";"Financial Statements Letter",#N/A,TRUE,"Results";"Results Letter",#N/A,TRUE,"Results";"Ratios Letter",#N/A,TRUE,"Results";"Historical data Letter",#N/A,TRUE,"Historical Data";"Forecast inputs Letter",#N/A,TRUE,"Forecast Drivers"}</definedName>
    <definedName name="wrn.Print._.All._.Letter." localSheetId="8" hidden="1">{"Valuation Letter",#N/A,TRUE,"Valuation Summary";"Financial Statements Letter",#N/A,TRUE,"Results";"Results Letter",#N/A,TRUE,"Results";"Ratios Letter",#N/A,TRUE,"Results";"Historical data Letter",#N/A,TRUE,"Historical Data";"Forecast inputs Letter",#N/A,TRUE,"Forecast Drivers"}</definedName>
    <definedName name="wrn.Print._.All._.Letter." hidden="1">{"Valuation Letter",#N/A,TRUE,"Valuation Summary";"Financial Statements Letter",#N/A,TRUE,"Results";"Results Letter",#N/A,TRUE,"Results";"Ratios Letter",#N/A,TRUE,"Results";"Historical data Letter",#N/A,TRUE,"Historical Data";"Forecast inputs Letter",#N/A,TRUE,"Forecast Drivers"}</definedName>
    <definedName name="wrn.Print._.Results._.A4." localSheetId="2" hidden="1">{"Valuation",#N/A,TRUE,"Valuation Summary";"Financial Statements",#N/A,TRUE,"Results";"Results",#N/A,TRUE,"Results";"Ratios",#N/A,TRUE,"Results"}</definedName>
    <definedName name="wrn.Print._.Results._.A4." localSheetId="5" hidden="1">{"Valuation",#N/A,TRUE,"Valuation Summary";"Financial Statements",#N/A,TRUE,"Results";"Results",#N/A,TRUE,"Results";"Ratios",#N/A,TRUE,"Results"}</definedName>
    <definedName name="wrn.Print._.Results._.A4." localSheetId="7" hidden="1">{"Valuation",#N/A,TRUE,"Valuation Summary";"Financial Statements",#N/A,TRUE,"Results";"Results",#N/A,TRUE,"Results";"Ratios",#N/A,TRUE,"Results"}</definedName>
    <definedName name="wrn.Print._.Results._.A4." localSheetId="8" hidden="1">{"Valuation",#N/A,TRUE,"Valuation Summary";"Financial Statements",#N/A,TRUE,"Results";"Results",#N/A,TRUE,"Results";"Ratios",#N/A,TRUE,"Results"}</definedName>
    <definedName name="wrn.Print._.Results._.A4." hidden="1">{"Valuation",#N/A,TRUE,"Valuation Summary";"Financial Statements",#N/A,TRUE,"Results";"Results",#N/A,TRUE,"Results";"Ratios",#N/A,TRUE,"Results"}</definedName>
    <definedName name="wrn.Print._.Results._.Letter." localSheetId="2" hidden="1">{"Valuation Letter",#N/A,TRUE,"Valuation Summary";"Financial Statements Letter",#N/A,TRUE,"Results";"Results Letter",#N/A,TRUE,"Results";"Ratios Letter",#N/A,TRUE,"Results"}</definedName>
    <definedName name="wrn.Print._.Results._.Letter." localSheetId="5" hidden="1">{"Valuation Letter",#N/A,TRUE,"Valuation Summary";"Financial Statements Letter",#N/A,TRUE,"Results";"Results Letter",#N/A,TRUE,"Results";"Ratios Letter",#N/A,TRUE,"Results"}</definedName>
    <definedName name="wrn.Print._.Results._.Letter." localSheetId="7" hidden="1">{"Valuation Letter",#N/A,TRUE,"Valuation Summary";"Financial Statements Letter",#N/A,TRUE,"Results";"Results Letter",#N/A,TRUE,"Results";"Ratios Letter",#N/A,TRUE,"Results"}</definedName>
    <definedName name="wrn.Print._.Results._.Letter." localSheetId="8" hidden="1">{"Valuation Letter",#N/A,TRUE,"Valuation Summary";"Financial Statements Letter",#N/A,TRUE,"Results";"Results Letter",#N/A,TRUE,"Results";"Ratios Letter",#N/A,TRUE,"Results"}</definedName>
    <definedName name="wrn.Print._.Results._.Letter." hidden="1">{"Valuation Letter",#N/A,TRUE,"Valuation Summary";"Financial Statements Letter",#N/A,TRUE,"Results";"Results Letter",#N/A,TRUE,"Results";"Ratios Letter",#N/A,TRUE,"Results"}</definedName>
    <definedName name="www" localSheetId="3">'Cap 4  - M&amp;M'!www</definedName>
    <definedName name="www" localSheetId="5">'Cap 5 - WACC'!www</definedName>
    <definedName name="www" localSheetId="7">'Cap 6 - Districom'!www</definedName>
    <definedName name="www" localSheetId="8">'Cap 7 - Polaris'!www</definedName>
    <definedName name="www">#REF!</definedName>
    <definedName name="wwwwww" localSheetId="3">'Cap 4  - M&amp;M'!wwwwww</definedName>
    <definedName name="wwwwww" localSheetId="5">'Cap 5 - WACC'!wwwwww</definedName>
    <definedName name="wwwwww" localSheetId="7">'Cap 6 - Districom'!wwwwww</definedName>
    <definedName name="wwwwww" localSheetId="8">'Cap 7 - Polaris'!wwwwww</definedName>
    <definedName name="wwwwww">#REF!</definedName>
    <definedName name="x" localSheetId="2" hidden="1">{"inputs raw data",#N/A,TRUE,"INPUT"}</definedName>
    <definedName name="x" localSheetId="3" hidden="1">{"inputs raw data",#N/A,TRUE,"INPUT"}</definedName>
    <definedName name="x" localSheetId="5" hidden="1">{"inputs raw data",#N/A,TRUE,"INPUT"}</definedName>
    <definedName name="x" localSheetId="7" hidden="1">{"inputs raw data",#N/A,TRUE,"INPUT"}</definedName>
    <definedName name="x" localSheetId="8" hidden="1">{"inputs raw data",#N/A,TRUE,"INPUT"}</definedName>
    <definedName name="x" hidden="1">{"inputs raw data",#N/A,TRUE,"INPUT"}</definedName>
    <definedName name="YEAR" localSheetId="2">#REF!</definedName>
    <definedName name="YEAR" localSheetId="5">#REF!</definedName>
    <definedName name="YEAR" localSheetId="7">#REF!</definedName>
    <definedName name="YEAR" localSheetId="8">#REF!</definedName>
    <definedName name="YEAR">#REF!</definedName>
    <definedName name="z" localSheetId="2">{"IBESD","WWP","I22","N","0","0","H"}</definedName>
    <definedName name="z" localSheetId="3">{"IBESD","WWP","I22","N","0","0","H"}</definedName>
    <definedName name="z" localSheetId="5">{"IBESD","WWP","I22","N","0","0","H"}</definedName>
    <definedName name="z" localSheetId="7">{"IBESD","WWP","I22","N","0","0","H"}</definedName>
    <definedName name="z" localSheetId="8">{"IBESD","WWP","I22","N","0","0","H"}</definedName>
    <definedName name="z">{"IBESD","WWP","I22","N","0","0","H"}</definedName>
    <definedName name="zzz" localSheetId="3">'Cap 4  - M&amp;M'!zzz</definedName>
    <definedName name="zzz" localSheetId="5">'Cap 5 - WACC'!zzz</definedName>
    <definedName name="zzz" localSheetId="7">'Cap 6 - Districom'!zzz</definedName>
    <definedName name="zzz" localSheetId="8">'Cap 7 - Polaris'!zzz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X6" i="129" l="1"/>
  <c r="G21" i="188"/>
  <c r="G18" i="188"/>
  <c r="G17" i="188"/>
  <c r="G20" i="188"/>
  <c r="G16" i="188"/>
  <c r="D21" i="188"/>
  <c r="D18" i="188"/>
  <c r="D16" i="188"/>
  <c r="J6" i="188"/>
  <c r="J9" i="188" s="1"/>
  <c r="K12" i="226"/>
  <c r="K8" i="226" s="1"/>
  <c r="D24" i="226"/>
  <c r="E24" i="226" s="1"/>
  <c r="F24" i="226" s="1"/>
  <c r="G24" i="226" s="1"/>
  <c r="D25" i="226"/>
  <c r="E25" i="226"/>
  <c r="F25" i="226"/>
  <c r="G25" i="226"/>
  <c r="D26" i="226"/>
  <c r="E26" i="226" s="1"/>
  <c r="F26" i="226" s="1"/>
  <c r="G26" i="226" s="1"/>
  <c r="D27" i="226"/>
  <c r="E27" i="226"/>
  <c r="F27" i="226"/>
  <c r="G27" i="226"/>
  <c r="C28" i="226"/>
  <c r="D28" i="226" s="1"/>
  <c r="E28" i="226" s="1"/>
  <c r="F28" i="226" s="1"/>
  <c r="G28" i="226" s="1"/>
  <c r="Q38" i="256"/>
  <c r="M40" i="256" s="1"/>
  <c r="AA15" i="256"/>
  <c r="AA16" i="256"/>
  <c r="AA17" i="256"/>
  <c r="AA14" i="256"/>
  <c r="AA13" i="256"/>
  <c r="AA10" i="256"/>
  <c r="AA11" i="256"/>
  <c r="AA12" i="256"/>
  <c r="AA9" i="256"/>
  <c r="AA8" i="256"/>
  <c r="AA5" i="256"/>
  <c r="AA6" i="256"/>
  <c r="AA7" i="256"/>
  <c r="AA4" i="256"/>
  <c r="AA3" i="256"/>
  <c r="Z3" i="256"/>
  <c r="Z4" i="256"/>
  <c r="Z5" i="256"/>
  <c r="Z6" i="256"/>
  <c r="Z7" i="256"/>
  <c r="Z8" i="256"/>
  <c r="Z9" i="256"/>
  <c r="Z10" i="256"/>
  <c r="Z11" i="256"/>
  <c r="Z12" i="256"/>
  <c r="Z13" i="256"/>
  <c r="Z14" i="256"/>
  <c r="Z15" i="256"/>
  <c r="Z16" i="256"/>
  <c r="Z17" i="256"/>
  <c r="Y15" i="256"/>
  <c r="Y16" i="256"/>
  <c r="Y17" i="256"/>
  <c r="Y14" i="256"/>
  <c r="Y13" i="256"/>
  <c r="Y10" i="256"/>
  <c r="Y11" i="256"/>
  <c r="Y12" i="256"/>
  <c r="Y9" i="256"/>
  <c r="Y8" i="256"/>
  <c r="Y5" i="256"/>
  <c r="Y6" i="256"/>
  <c r="Y7" i="256"/>
  <c r="Y4" i="256"/>
  <c r="Y3" i="256"/>
  <c r="X4" i="256"/>
  <c r="X5" i="256"/>
  <c r="X6" i="256"/>
  <c r="X7" i="256"/>
  <c r="X8" i="256"/>
  <c r="X9" i="256"/>
  <c r="X10" i="256"/>
  <c r="X11" i="256"/>
  <c r="X12" i="256"/>
  <c r="X13" i="256"/>
  <c r="X14" i="256"/>
  <c r="X15" i="256"/>
  <c r="X16" i="256"/>
  <c r="X17" i="256"/>
  <c r="X3" i="256"/>
  <c r="F59" i="256"/>
  <c r="C59" i="256"/>
  <c r="B59" i="256"/>
  <c r="O58" i="256"/>
  <c r="P58" i="256" s="1"/>
  <c r="M58" i="256"/>
  <c r="U58" i="256" s="1"/>
  <c r="K58" i="256"/>
  <c r="E58" i="256"/>
  <c r="G58" i="256" s="1"/>
  <c r="D58" i="256"/>
  <c r="N58" i="256" s="1"/>
  <c r="S58" i="256" s="1"/>
  <c r="O57" i="256"/>
  <c r="P57" i="256" s="1"/>
  <c r="K57" i="256"/>
  <c r="M57" i="256" s="1"/>
  <c r="E57" i="256"/>
  <c r="G57" i="256" s="1"/>
  <c r="D57" i="256"/>
  <c r="N57" i="256" s="1"/>
  <c r="S57" i="256" s="1"/>
  <c r="O56" i="256"/>
  <c r="P56" i="256" s="1"/>
  <c r="K56" i="256"/>
  <c r="M56" i="256" s="1"/>
  <c r="E56" i="256"/>
  <c r="G56" i="256" s="1"/>
  <c r="D56" i="256"/>
  <c r="N56" i="256" s="1"/>
  <c r="S56" i="256" s="1"/>
  <c r="O55" i="256"/>
  <c r="P55" i="256" s="1"/>
  <c r="K55" i="256"/>
  <c r="M55" i="256" s="1"/>
  <c r="E55" i="256"/>
  <c r="D55" i="256"/>
  <c r="N55" i="256" s="1"/>
  <c r="S55" i="256" s="1"/>
  <c r="F52" i="256"/>
  <c r="C52" i="256"/>
  <c r="B52" i="256"/>
  <c r="O51" i="256"/>
  <c r="P51" i="256" s="1"/>
  <c r="M51" i="256"/>
  <c r="U51" i="256" s="1"/>
  <c r="K51" i="256"/>
  <c r="E51" i="256"/>
  <c r="G51" i="256" s="1"/>
  <c r="D51" i="256"/>
  <c r="N51" i="256" s="1"/>
  <c r="S51" i="256" s="1"/>
  <c r="O50" i="256"/>
  <c r="P50" i="256" s="1"/>
  <c r="M50" i="256"/>
  <c r="U50" i="256" s="1"/>
  <c r="K50" i="256"/>
  <c r="E50" i="256"/>
  <c r="G50" i="256" s="1"/>
  <c r="D50" i="256"/>
  <c r="N50" i="256" s="1"/>
  <c r="S50" i="256" s="1"/>
  <c r="O49" i="256"/>
  <c r="P49" i="256" s="1"/>
  <c r="K49" i="256"/>
  <c r="M49" i="256" s="1"/>
  <c r="E49" i="256"/>
  <c r="G49" i="256" s="1"/>
  <c r="D49" i="256"/>
  <c r="N49" i="256" s="1"/>
  <c r="S49" i="256" s="1"/>
  <c r="O48" i="256"/>
  <c r="P48" i="256" s="1"/>
  <c r="M48" i="256"/>
  <c r="K48" i="256"/>
  <c r="E48" i="256"/>
  <c r="D48" i="256"/>
  <c r="N48" i="256" s="1"/>
  <c r="S48" i="256" s="1"/>
  <c r="F45" i="256"/>
  <c r="C45" i="256"/>
  <c r="B45" i="256"/>
  <c r="O44" i="256"/>
  <c r="P44" i="256" s="1"/>
  <c r="K44" i="256"/>
  <c r="M44" i="256" s="1"/>
  <c r="E44" i="256"/>
  <c r="G44" i="256" s="1"/>
  <c r="D44" i="256"/>
  <c r="N44" i="256" s="1"/>
  <c r="S44" i="256" s="1"/>
  <c r="O43" i="256"/>
  <c r="P43" i="256" s="1"/>
  <c r="K43" i="256"/>
  <c r="M43" i="256" s="1"/>
  <c r="E43" i="256"/>
  <c r="G43" i="256" s="1"/>
  <c r="D43" i="256"/>
  <c r="N43" i="256" s="1"/>
  <c r="S43" i="256" s="1"/>
  <c r="O42" i="256"/>
  <c r="P42" i="256" s="1"/>
  <c r="K42" i="256"/>
  <c r="M42" i="256" s="1"/>
  <c r="Q42" i="256" s="1"/>
  <c r="E42" i="256"/>
  <c r="G42" i="256" s="1"/>
  <c r="D42" i="256"/>
  <c r="N42" i="256" s="1"/>
  <c r="S42" i="256" s="1"/>
  <c r="R42" i="256" s="1"/>
  <c r="T42" i="256" s="1"/>
  <c r="U42" i="256" s="1"/>
  <c r="O41" i="256"/>
  <c r="P41" i="256" s="1"/>
  <c r="K41" i="256"/>
  <c r="M41" i="256" s="1"/>
  <c r="E41" i="256"/>
  <c r="G41" i="256" s="1"/>
  <c r="D41" i="256"/>
  <c r="N41" i="256" s="1"/>
  <c r="S41" i="256" s="1"/>
  <c r="F22" i="256"/>
  <c r="C22" i="256"/>
  <c r="B22" i="256"/>
  <c r="O21" i="256"/>
  <c r="P21" i="256" s="1"/>
  <c r="K21" i="256"/>
  <c r="M21" i="256" s="1"/>
  <c r="E21" i="256"/>
  <c r="G21" i="256" s="1"/>
  <c r="D21" i="256"/>
  <c r="N21" i="256" s="1"/>
  <c r="S21" i="256" s="1"/>
  <c r="O20" i="256"/>
  <c r="P20" i="256" s="1"/>
  <c r="K20" i="256"/>
  <c r="M20" i="256" s="1"/>
  <c r="E20" i="256"/>
  <c r="D20" i="256"/>
  <c r="N20" i="256" s="1"/>
  <c r="S20" i="256" s="1"/>
  <c r="O19" i="256"/>
  <c r="P19" i="256" s="1"/>
  <c r="K19" i="256"/>
  <c r="M19" i="256" s="1"/>
  <c r="E19" i="256"/>
  <c r="G19" i="256" s="1"/>
  <c r="D19" i="256"/>
  <c r="N19" i="256" s="1"/>
  <c r="S19" i="256" s="1"/>
  <c r="O18" i="256"/>
  <c r="P18" i="256" s="1"/>
  <c r="K18" i="256"/>
  <c r="M18" i="256" s="1"/>
  <c r="E18" i="256"/>
  <c r="G18" i="256" s="1"/>
  <c r="D18" i="256"/>
  <c r="N18" i="256" s="1"/>
  <c r="S18" i="256" s="1"/>
  <c r="F15" i="256"/>
  <c r="C15" i="256"/>
  <c r="B15" i="256"/>
  <c r="O14" i="256"/>
  <c r="P14" i="256" s="1"/>
  <c r="K14" i="256"/>
  <c r="M14" i="256" s="1"/>
  <c r="E14" i="256"/>
  <c r="G14" i="256" s="1"/>
  <c r="D14" i="256"/>
  <c r="N14" i="256" s="1"/>
  <c r="S14" i="256" s="1"/>
  <c r="O13" i="256"/>
  <c r="P13" i="256" s="1"/>
  <c r="K13" i="256"/>
  <c r="M13" i="256" s="1"/>
  <c r="E13" i="256"/>
  <c r="G13" i="256" s="1"/>
  <c r="D13" i="256"/>
  <c r="N13" i="256" s="1"/>
  <c r="S13" i="256" s="1"/>
  <c r="O12" i="256"/>
  <c r="P12" i="256" s="1"/>
  <c r="K12" i="256"/>
  <c r="M12" i="256" s="1"/>
  <c r="E12" i="256"/>
  <c r="G12" i="256" s="1"/>
  <c r="D12" i="256"/>
  <c r="N12" i="256" s="1"/>
  <c r="S12" i="256" s="1"/>
  <c r="O11" i="256"/>
  <c r="P11" i="256" s="1"/>
  <c r="K11" i="256"/>
  <c r="M11" i="256" s="1"/>
  <c r="E11" i="256"/>
  <c r="G11" i="256" s="1"/>
  <c r="D11" i="256"/>
  <c r="N11" i="256" s="1"/>
  <c r="S11" i="256" s="1"/>
  <c r="F8" i="256"/>
  <c r="C8" i="256"/>
  <c r="B8" i="256"/>
  <c r="O7" i="256"/>
  <c r="P7" i="256" s="1"/>
  <c r="K7" i="256"/>
  <c r="M7" i="256" s="1"/>
  <c r="E7" i="256"/>
  <c r="G7" i="256" s="1"/>
  <c r="D7" i="256"/>
  <c r="N7" i="256" s="1"/>
  <c r="S7" i="256" s="1"/>
  <c r="O6" i="256"/>
  <c r="P6" i="256" s="1"/>
  <c r="K6" i="256"/>
  <c r="M6" i="256" s="1"/>
  <c r="Q6" i="256" s="1"/>
  <c r="E6" i="256"/>
  <c r="G6" i="256" s="1"/>
  <c r="D6" i="256"/>
  <c r="N6" i="256" s="1"/>
  <c r="S6" i="256" s="1"/>
  <c r="O5" i="256"/>
  <c r="P5" i="256" s="1"/>
  <c r="K5" i="256"/>
  <c r="M5" i="256" s="1"/>
  <c r="E5" i="256"/>
  <c r="G5" i="256" s="1"/>
  <c r="D5" i="256"/>
  <c r="N5" i="256" s="1"/>
  <c r="S5" i="256" s="1"/>
  <c r="O4" i="256"/>
  <c r="P4" i="256" s="1"/>
  <c r="K4" i="256"/>
  <c r="M4" i="256" s="1"/>
  <c r="E4" i="256"/>
  <c r="G4" i="256" s="1"/>
  <c r="D4" i="256"/>
  <c r="N4" i="256" s="1"/>
  <c r="S4" i="256" s="1"/>
  <c r="Q1" i="256"/>
  <c r="M3" i="256" s="1"/>
  <c r="J10" i="188" l="1"/>
  <c r="J13" i="188"/>
  <c r="J7" i="188"/>
  <c r="Q7" i="256"/>
  <c r="R7" i="256" s="1"/>
  <c r="T7" i="256" s="1"/>
  <c r="U7" i="256" s="1"/>
  <c r="B61" i="256"/>
  <c r="F61" i="256"/>
  <c r="D15" i="256"/>
  <c r="Q11" i="256"/>
  <c r="R11" i="256" s="1"/>
  <c r="Q50" i="256"/>
  <c r="R50" i="256" s="1"/>
  <c r="T50" i="256" s="1"/>
  <c r="E22" i="256"/>
  <c r="G22" i="256" s="1"/>
  <c r="E52" i="256"/>
  <c r="G52" i="256" s="1"/>
  <c r="B24" i="256"/>
  <c r="M52" i="256"/>
  <c r="C24" i="256"/>
  <c r="D24" i="256" s="1"/>
  <c r="D52" i="256"/>
  <c r="F24" i="256"/>
  <c r="D22" i="256"/>
  <c r="D45" i="256"/>
  <c r="E59" i="256"/>
  <c r="G59" i="256" s="1"/>
  <c r="D59" i="256"/>
  <c r="Q43" i="256"/>
  <c r="R43" i="256" s="1"/>
  <c r="T43" i="256" s="1"/>
  <c r="U43" i="256" s="1"/>
  <c r="Q44" i="256"/>
  <c r="R44" i="256" s="1"/>
  <c r="T44" i="256" s="1"/>
  <c r="U44" i="256" s="1"/>
  <c r="Q19" i="256"/>
  <c r="R19" i="256" s="1"/>
  <c r="T19" i="256" s="1"/>
  <c r="U19" i="256" s="1"/>
  <c r="Q57" i="256"/>
  <c r="R57" i="256" s="1"/>
  <c r="T57" i="256" s="1"/>
  <c r="U57" i="256" s="1"/>
  <c r="R6" i="256"/>
  <c r="T6" i="256" s="1"/>
  <c r="U6" i="256" s="1"/>
  <c r="M45" i="256"/>
  <c r="M22" i="256"/>
  <c r="Q18" i="256"/>
  <c r="Q14" i="256"/>
  <c r="R14" i="256" s="1"/>
  <c r="T14" i="256" s="1"/>
  <c r="U14" i="256" s="1"/>
  <c r="Q56" i="256"/>
  <c r="R56" i="256" s="1"/>
  <c r="T56" i="256" s="1"/>
  <c r="U56" i="256" s="1"/>
  <c r="Q20" i="256"/>
  <c r="R20" i="256" s="1"/>
  <c r="T20" i="256" s="1"/>
  <c r="U20" i="256" s="1"/>
  <c r="Q5" i="256"/>
  <c r="R5" i="256" s="1"/>
  <c r="T5" i="256" s="1"/>
  <c r="U5" i="256" s="1"/>
  <c r="Q21" i="256"/>
  <c r="R21" i="256" s="1"/>
  <c r="T21" i="256" s="1"/>
  <c r="U21" i="256" s="1"/>
  <c r="Q49" i="256"/>
  <c r="R49" i="256" s="1"/>
  <c r="T49" i="256" s="1"/>
  <c r="U49" i="256" s="1"/>
  <c r="Q55" i="256"/>
  <c r="R55" i="256" s="1"/>
  <c r="M59" i="256"/>
  <c r="Q13" i="256"/>
  <c r="R13" i="256" s="1"/>
  <c r="T13" i="256" s="1"/>
  <c r="U13" i="256" s="1"/>
  <c r="Q4" i="256"/>
  <c r="R4" i="256" s="1"/>
  <c r="M8" i="256"/>
  <c r="M15" i="256"/>
  <c r="C61" i="256"/>
  <c r="D61" i="256" s="1"/>
  <c r="D8" i="256"/>
  <c r="E8" i="256"/>
  <c r="G20" i="256"/>
  <c r="E15" i="256"/>
  <c r="G15" i="256" s="1"/>
  <c r="Q58" i="256"/>
  <c r="R58" i="256" s="1"/>
  <c r="T58" i="256" s="1"/>
  <c r="G55" i="256"/>
  <c r="Q51" i="256"/>
  <c r="R51" i="256" s="1"/>
  <c r="T51" i="256" s="1"/>
  <c r="Q48" i="256"/>
  <c r="R48" i="256" s="1"/>
  <c r="E45" i="256"/>
  <c r="U48" i="256"/>
  <c r="Q41" i="256"/>
  <c r="G48" i="256"/>
  <c r="Q12" i="256"/>
  <c r="R12" i="256" s="1"/>
  <c r="T12" i="256" s="1"/>
  <c r="U12" i="256" s="1"/>
  <c r="J15" i="188" l="1"/>
  <c r="J16" i="188" s="1"/>
  <c r="M61" i="256"/>
  <c r="Q45" i="256"/>
  <c r="R52" i="256"/>
  <c r="T48" i="256"/>
  <c r="T52" i="256" s="1"/>
  <c r="U52" i="256" s="1"/>
  <c r="Q8" i="256"/>
  <c r="T55" i="256"/>
  <c r="R59" i="256"/>
  <c r="T4" i="256"/>
  <c r="R8" i="256"/>
  <c r="G45" i="256"/>
  <c r="E61" i="256"/>
  <c r="G61" i="256" s="1"/>
  <c r="Q22" i="256"/>
  <c r="Q15" i="256"/>
  <c r="R15" i="256"/>
  <c r="T11" i="256"/>
  <c r="Q59" i="256"/>
  <c r="M24" i="256"/>
  <c r="R41" i="256"/>
  <c r="Q52" i="256"/>
  <c r="R18" i="256"/>
  <c r="E24" i="256"/>
  <c r="G24" i="256" s="1"/>
  <c r="G8" i="256"/>
  <c r="S15" i="256" l="1"/>
  <c r="Q61" i="256"/>
  <c r="R45" i="256"/>
  <c r="T41" i="256"/>
  <c r="T15" i="256"/>
  <c r="U15" i="256" s="1"/>
  <c r="U11" i="256"/>
  <c r="S8" i="256"/>
  <c r="T8" i="256"/>
  <c r="U4" i="256"/>
  <c r="R22" i="256"/>
  <c r="S22" i="256" s="1"/>
  <c r="T18" i="256"/>
  <c r="Q24" i="256"/>
  <c r="S59" i="256"/>
  <c r="T59" i="256"/>
  <c r="U59" i="256" s="1"/>
  <c r="U55" i="256"/>
  <c r="S52" i="256"/>
  <c r="R24" i="256" l="1"/>
  <c r="S24" i="256" s="1"/>
  <c r="T45" i="256"/>
  <c r="U41" i="256"/>
  <c r="T22" i="256"/>
  <c r="U22" i="256" s="1"/>
  <c r="U18" i="256"/>
  <c r="U8" i="256"/>
  <c r="S45" i="256"/>
  <c r="R61" i="256"/>
  <c r="S61" i="256" s="1"/>
  <c r="T24" i="256" l="1"/>
  <c r="U24" i="256" s="1"/>
  <c r="U45" i="256"/>
  <c r="T61" i="256"/>
  <c r="U61" i="256" s="1"/>
  <c r="E53" i="248" l="1"/>
  <c r="F53" i="248"/>
  <c r="D54" i="248"/>
  <c r="E54" i="248"/>
  <c r="F54" i="248"/>
  <c r="G56" i="248"/>
  <c r="H56" i="248"/>
  <c r="F68" i="248"/>
  <c r="G6" i="248"/>
  <c r="C72" i="248"/>
  <c r="D72" i="248"/>
  <c r="E72" i="248"/>
  <c r="F72" i="248"/>
  <c r="C71" i="248"/>
  <c r="D71" i="248"/>
  <c r="E71" i="248"/>
  <c r="F71" i="248"/>
  <c r="G71" i="248"/>
  <c r="H71" i="248"/>
  <c r="B68" i="248"/>
  <c r="C64" i="248"/>
  <c r="D64" i="248"/>
  <c r="E64" i="248"/>
  <c r="B64" i="248"/>
  <c r="C63" i="248"/>
  <c r="D63" i="248"/>
  <c r="E63" i="248"/>
  <c r="C62" i="248"/>
  <c r="D62" i="248"/>
  <c r="E62" i="248"/>
  <c r="C61" i="248"/>
  <c r="D61" i="248"/>
  <c r="E61" i="248"/>
  <c r="B61" i="248"/>
  <c r="C48" i="248"/>
  <c r="S8" i="248"/>
  <c r="R8" i="248"/>
  <c r="I5" i="248"/>
  <c r="E77" i="248"/>
  <c r="F77" i="248" s="1"/>
  <c r="G77" i="248" s="1"/>
  <c r="H77" i="248" s="1"/>
  <c r="D68" i="248"/>
  <c r="C68" i="248"/>
  <c r="H63" i="248"/>
  <c r="G62" i="248"/>
  <c r="D60" i="248"/>
  <c r="C60" i="248"/>
  <c r="B60" i="248"/>
  <c r="B51" i="248"/>
  <c r="D48" i="248"/>
  <c r="D47" i="248"/>
  <c r="C47" i="248"/>
  <c r="D46" i="248"/>
  <c r="C46" i="248"/>
  <c r="D45" i="248"/>
  <c r="D49" i="248" s="1"/>
  <c r="C45" i="248"/>
  <c r="E39" i="248"/>
  <c r="F39" i="248" s="1"/>
  <c r="G39" i="248" s="1"/>
  <c r="H39" i="248" s="1"/>
  <c r="E38" i="248"/>
  <c r="F38" i="248" s="1"/>
  <c r="G38" i="248" s="1"/>
  <c r="H38" i="248" s="1"/>
  <c r="D37" i="248"/>
  <c r="C37" i="248"/>
  <c r="B37" i="248"/>
  <c r="F35" i="248"/>
  <c r="D31" i="248"/>
  <c r="C31" i="248"/>
  <c r="B31" i="248"/>
  <c r="E30" i="248"/>
  <c r="F30" i="248" s="1"/>
  <c r="G30" i="248" s="1"/>
  <c r="H30" i="248" s="1"/>
  <c r="E29" i="248"/>
  <c r="F29" i="248" s="1"/>
  <c r="D28" i="248"/>
  <c r="C28" i="248"/>
  <c r="B28" i="248"/>
  <c r="B23" i="248" s="1"/>
  <c r="E27" i="248"/>
  <c r="F27" i="248" s="1"/>
  <c r="G27" i="248" s="1"/>
  <c r="H27" i="248" s="1"/>
  <c r="E24" i="248"/>
  <c r="F24" i="248" s="1"/>
  <c r="F9" i="248"/>
  <c r="G9" i="248" s="1"/>
  <c r="H9" i="248" s="1"/>
  <c r="E8" i="248"/>
  <c r="F8" i="248" s="1"/>
  <c r="D7" i="248"/>
  <c r="C7" i="248"/>
  <c r="B7" i="248"/>
  <c r="F5" i="248"/>
  <c r="E48" i="248" l="1"/>
  <c r="B78" i="248"/>
  <c r="B14" i="248" s="1"/>
  <c r="F7" i="248"/>
  <c r="F10" i="248" s="1"/>
  <c r="C78" i="248"/>
  <c r="C14" i="248" s="1"/>
  <c r="C23" i="248"/>
  <c r="C41" i="248" s="1"/>
  <c r="C69" i="248" s="1"/>
  <c r="C67" i="248" s="1"/>
  <c r="C79" i="248" s="1"/>
  <c r="D23" i="248"/>
  <c r="D41" i="248" s="1"/>
  <c r="D69" i="248" s="1"/>
  <c r="D67" i="248" s="1"/>
  <c r="D79" i="248" s="1"/>
  <c r="E31" i="248"/>
  <c r="E51" i="248" s="1"/>
  <c r="C49" i="248"/>
  <c r="D78" i="248"/>
  <c r="D14" i="248" s="1"/>
  <c r="C50" i="248"/>
  <c r="E7" i="248"/>
  <c r="E6" i="248" s="1"/>
  <c r="G24" i="248"/>
  <c r="G29" i="248"/>
  <c r="F31" i="248"/>
  <c r="F11" i="248"/>
  <c r="B41" i="248"/>
  <c r="B10" i="248"/>
  <c r="B6" i="248"/>
  <c r="D10" i="248"/>
  <c r="D6" i="248"/>
  <c r="E50" i="248"/>
  <c r="C51" i="248"/>
  <c r="D51" i="248"/>
  <c r="D50" i="248"/>
  <c r="F6" i="248"/>
  <c r="G5" i="248"/>
  <c r="C10" i="248"/>
  <c r="C6" i="248"/>
  <c r="G35" i="248"/>
  <c r="F48" i="248"/>
  <c r="E41" i="248" l="1"/>
  <c r="D33" i="248"/>
  <c r="D40" i="248"/>
  <c r="E40" i="248" s="1"/>
  <c r="F40" i="248" s="1"/>
  <c r="C33" i="248"/>
  <c r="C40" i="248"/>
  <c r="E10" i="248"/>
  <c r="F26" i="248"/>
  <c r="F34" i="248"/>
  <c r="D12" i="248"/>
  <c r="D16" i="248"/>
  <c r="D11" i="248"/>
  <c r="B63" i="248"/>
  <c r="B62" i="248"/>
  <c r="B65" i="248" s="1"/>
  <c r="B16" i="248"/>
  <c r="B71" i="248"/>
  <c r="B12" i="248"/>
  <c r="B11" i="248"/>
  <c r="E69" i="248"/>
  <c r="F41" i="248"/>
  <c r="B69" i="248"/>
  <c r="B67" i="248" s="1"/>
  <c r="B79" i="248" s="1"/>
  <c r="B40" i="248"/>
  <c r="B33" i="248"/>
  <c r="E12" i="248"/>
  <c r="E13" i="248" s="1"/>
  <c r="E11" i="248"/>
  <c r="G48" i="248"/>
  <c r="H35" i="248"/>
  <c r="H48" i="248" s="1"/>
  <c r="C65" i="248"/>
  <c r="C16" i="248"/>
  <c r="C12" i="248"/>
  <c r="C11" i="248"/>
  <c r="F51" i="248"/>
  <c r="F12" i="248" s="1"/>
  <c r="F13" i="248" s="1"/>
  <c r="F50" i="248"/>
  <c r="H29" i="248"/>
  <c r="H31" i="248" s="1"/>
  <c r="G31" i="248"/>
  <c r="H5" i="248"/>
  <c r="H24" i="248"/>
  <c r="E47" i="248"/>
  <c r="F47" i="248" l="1"/>
  <c r="H51" i="248"/>
  <c r="H50" i="248"/>
  <c r="D13" i="248"/>
  <c r="D81" i="248"/>
  <c r="G26" i="248"/>
  <c r="O10" i="248" s="1"/>
  <c r="D65" i="248"/>
  <c r="B13" i="248"/>
  <c r="B81" i="248"/>
  <c r="B17" i="248"/>
  <c r="B18" i="248"/>
  <c r="D17" i="248"/>
  <c r="D18" i="248" s="1"/>
  <c r="G51" i="248"/>
  <c r="G50" i="248"/>
  <c r="F69" i="248"/>
  <c r="C13" i="248"/>
  <c r="C81" i="248"/>
  <c r="C17" i="248"/>
  <c r="C18" i="248" s="1"/>
  <c r="B72" i="248"/>
  <c r="C19" i="248" l="1"/>
  <c r="C74" i="248"/>
  <c r="B19" i="248"/>
  <c r="B74" i="248"/>
  <c r="H26" i="248"/>
  <c r="G46" i="248"/>
  <c r="D19" i="248"/>
  <c r="D74" i="248"/>
  <c r="H46" i="248" l="1"/>
  <c r="E46" i="248"/>
  <c r="F46" i="248"/>
  <c r="K108" i="246" l="1"/>
  <c r="K96" i="246" s="1"/>
  <c r="I108" i="246"/>
  <c r="I96" i="246" s="1"/>
  <c r="G108" i="246"/>
  <c r="G96" i="246" s="1"/>
  <c r="E108" i="246"/>
  <c r="E96" i="246" s="1"/>
  <c r="C108" i="246"/>
  <c r="C96" i="246" s="1"/>
  <c r="S94" i="246" s="1"/>
  <c r="S95" i="246" s="1"/>
  <c r="S96" i="246" s="1"/>
  <c r="S97" i="246" s="1"/>
  <c r="S98" i="246" s="1"/>
  <c r="E104" i="246"/>
  <c r="G104" i="246"/>
  <c r="I104" i="246"/>
  <c r="K104" i="246"/>
  <c r="C104" i="246"/>
  <c r="E71" i="246" l="1"/>
  <c r="P62" i="246" s="1"/>
  <c r="G71" i="246"/>
  <c r="P63" i="246" s="1"/>
  <c r="I71" i="246"/>
  <c r="P64" i="246" s="1"/>
  <c r="K71" i="246"/>
  <c r="P65" i="246" s="1"/>
  <c r="C71" i="246"/>
  <c r="P61" i="246" s="1"/>
  <c r="C56" i="246"/>
  <c r="K65" i="246"/>
  <c r="P73" i="246" s="1"/>
  <c r="I65" i="246"/>
  <c r="P72" i="246" s="1"/>
  <c r="G65" i="246"/>
  <c r="P71" i="246" s="1"/>
  <c r="E65" i="246"/>
  <c r="P70" i="246" s="1"/>
  <c r="C65" i="246"/>
  <c r="P69" i="246" s="1"/>
  <c r="E57" i="246"/>
  <c r="E66" i="246" s="1"/>
  <c r="Q70" i="246" s="1"/>
  <c r="G57" i="246"/>
  <c r="G59" i="246" s="1"/>
  <c r="R71" i="246" s="1"/>
  <c r="I57" i="246"/>
  <c r="I59" i="246" s="1"/>
  <c r="R72" i="246" s="1"/>
  <c r="K57" i="246"/>
  <c r="K59" i="246" s="1"/>
  <c r="R73" i="246" s="1"/>
  <c r="C57" i="246"/>
  <c r="C62" i="246" s="1"/>
  <c r="G48" i="246"/>
  <c r="I48" i="246" s="1"/>
  <c r="F48" i="246"/>
  <c r="K46" i="246"/>
  <c r="I46" i="246"/>
  <c r="G46" i="246"/>
  <c r="E46" i="246"/>
  <c r="C46" i="246"/>
  <c r="L45" i="246"/>
  <c r="J45" i="246"/>
  <c r="H45" i="246"/>
  <c r="F45" i="246"/>
  <c r="L44" i="246"/>
  <c r="J44" i="246"/>
  <c r="H44" i="246"/>
  <c r="F44" i="246"/>
  <c r="L43" i="246"/>
  <c r="J43" i="246"/>
  <c r="H43" i="246"/>
  <c r="F43" i="246"/>
  <c r="K41" i="246"/>
  <c r="I41" i="246"/>
  <c r="G41" i="246"/>
  <c r="E41" i="246"/>
  <c r="C41" i="246"/>
  <c r="L40" i="246"/>
  <c r="J40" i="246"/>
  <c r="L39" i="246"/>
  <c r="J39" i="246"/>
  <c r="H39" i="246"/>
  <c r="F39" i="246"/>
  <c r="L38" i="246"/>
  <c r="J38" i="246"/>
  <c r="H38" i="246"/>
  <c r="F38" i="246"/>
  <c r="L37" i="246"/>
  <c r="J37" i="246"/>
  <c r="H37" i="246"/>
  <c r="F37" i="246"/>
  <c r="K34" i="246"/>
  <c r="I34" i="246"/>
  <c r="G34" i="246"/>
  <c r="E34" i="246"/>
  <c r="C34" i="246"/>
  <c r="L33" i="246"/>
  <c r="J33" i="246"/>
  <c r="H33" i="246"/>
  <c r="F33" i="246"/>
  <c r="L32" i="246"/>
  <c r="J32" i="246"/>
  <c r="H32" i="246"/>
  <c r="F32" i="246"/>
  <c r="L31" i="246"/>
  <c r="J31" i="246"/>
  <c r="H31" i="246"/>
  <c r="F31" i="246"/>
  <c r="L28" i="246"/>
  <c r="J28" i="246"/>
  <c r="H28" i="246"/>
  <c r="F28" i="246"/>
  <c r="L27" i="246"/>
  <c r="J27" i="246"/>
  <c r="H27" i="246"/>
  <c r="F27" i="246"/>
  <c r="E25" i="246"/>
  <c r="G25" i="246" s="1"/>
  <c r="I25" i="246" s="1"/>
  <c r="K25" i="246" s="1"/>
  <c r="N4" i="246"/>
  <c r="T7" i="246"/>
  <c r="O8" i="246"/>
  <c r="O7" i="246"/>
  <c r="O6" i="246"/>
  <c r="O5" i="246"/>
  <c r="O4" i="246"/>
  <c r="L19" i="246"/>
  <c r="J19" i="246"/>
  <c r="H19" i="246"/>
  <c r="F19" i="246"/>
  <c r="E2" i="246"/>
  <c r="G2" i="246" s="1"/>
  <c r="I2" i="246" s="1"/>
  <c r="K2" i="246" s="1"/>
  <c r="N8" i="246" s="1"/>
  <c r="S8" i="246" s="1"/>
  <c r="L11" i="246"/>
  <c r="L7" i="246"/>
  <c r="L3" i="246"/>
  <c r="T8" i="246" s="1"/>
  <c r="J11" i="246"/>
  <c r="J7" i="246"/>
  <c r="J3" i="246"/>
  <c r="H11" i="246"/>
  <c r="H3" i="246"/>
  <c r="T6" i="246" s="1"/>
  <c r="F11" i="246"/>
  <c r="F3" i="246"/>
  <c r="T5" i="246" s="1"/>
  <c r="I8" i="246"/>
  <c r="E8" i="246"/>
  <c r="E7" i="246"/>
  <c r="C7" i="246" s="1"/>
  <c r="K4" i="246"/>
  <c r="K5" i="246" s="1"/>
  <c r="I4" i="246"/>
  <c r="I5" i="246" s="1"/>
  <c r="G4" i="246"/>
  <c r="G5" i="246" s="1"/>
  <c r="E4" i="246"/>
  <c r="E5" i="246" s="1"/>
  <c r="C4" i="246"/>
  <c r="C5" i="246" s="1"/>
  <c r="C37" i="245"/>
  <c r="C36" i="245"/>
  <c r="C26" i="245"/>
  <c r="C16" i="245"/>
  <c r="C34" i="245" s="1"/>
  <c r="C9" i="245"/>
  <c r="C11" i="245" s="1"/>
  <c r="E58" i="246" l="1"/>
  <c r="E61" i="246" s="1"/>
  <c r="T70" i="246" s="1"/>
  <c r="H48" i="246"/>
  <c r="G58" i="246"/>
  <c r="G61" i="246" s="1"/>
  <c r="T71" i="246" s="1"/>
  <c r="C58" i="246"/>
  <c r="C61" i="246" s="1"/>
  <c r="T69" i="246" s="1"/>
  <c r="K62" i="246"/>
  <c r="K66" i="246"/>
  <c r="Q73" i="246" s="1"/>
  <c r="G56" i="246"/>
  <c r="E56" i="246"/>
  <c r="E59" i="246"/>
  <c r="R70" i="246" s="1"/>
  <c r="I62" i="246"/>
  <c r="G62" i="246"/>
  <c r="J46" i="246"/>
  <c r="G66" i="246"/>
  <c r="Q71" i="246" s="1"/>
  <c r="F34" i="246"/>
  <c r="K56" i="246"/>
  <c r="I66" i="246"/>
  <c r="Q72" i="246" s="1"/>
  <c r="I56" i="246"/>
  <c r="K48" i="246"/>
  <c r="L48" i="246" s="1"/>
  <c r="J48" i="246"/>
  <c r="F41" i="246"/>
  <c r="L46" i="246"/>
  <c r="H41" i="246"/>
  <c r="H34" i="246"/>
  <c r="J41" i="246"/>
  <c r="C59" i="246"/>
  <c r="R69" i="246" s="1"/>
  <c r="J34" i="246"/>
  <c r="L41" i="246"/>
  <c r="L34" i="246"/>
  <c r="C66" i="246"/>
  <c r="Q69" i="246" s="1"/>
  <c r="F46" i="246"/>
  <c r="K58" i="246"/>
  <c r="H46" i="246"/>
  <c r="I58" i="246"/>
  <c r="E62" i="246"/>
  <c r="N5" i="246"/>
  <c r="S5" i="246" s="1"/>
  <c r="N7" i="246"/>
  <c r="S7" i="246" s="1"/>
  <c r="N6" i="246"/>
  <c r="S6" i="246" s="1"/>
  <c r="J5" i="246"/>
  <c r="H7" i="246"/>
  <c r="L5" i="246"/>
  <c r="H5" i="246"/>
  <c r="H4" i="246"/>
  <c r="J4" i="246"/>
  <c r="L4" i="246"/>
  <c r="L8" i="246"/>
  <c r="J8" i="246"/>
  <c r="H8" i="246"/>
  <c r="F5" i="246"/>
  <c r="F7" i="246"/>
  <c r="F4" i="246"/>
  <c r="F8" i="246"/>
  <c r="C6" i="246"/>
  <c r="C9" i="246"/>
  <c r="C82" i="246" s="1"/>
  <c r="E9" i="246"/>
  <c r="E6" i="246"/>
  <c r="F6" i="246" s="1"/>
  <c r="G9" i="246"/>
  <c r="G6" i="246"/>
  <c r="I6" i="246"/>
  <c r="I9" i="246"/>
  <c r="I82" i="246" s="1"/>
  <c r="K6" i="246"/>
  <c r="K9" i="246"/>
  <c r="K82" i="246" s="1"/>
  <c r="C19" i="245"/>
  <c r="C25" i="245" s="1"/>
  <c r="C29" i="245" s="1"/>
  <c r="E60" i="246" l="1"/>
  <c r="S70" i="246" s="1"/>
  <c r="G60" i="246"/>
  <c r="C60" i="246"/>
  <c r="S69" i="246" s="1"/>
  <c r="H9" i="246"/>
  <c r="G82" i="246"/>
  <c r="F9" i="246"/>
  <c r="E82" i="246"/>
  <c r="I83" i="246"/>
  <c r="I84" i="246" s="1"/>
  <c r="C83" i="246"/>
  <c r="C84" i="246" s="1"/>
  <c r="K83" i="246"/>
  <c r="K84" i="246" s="1"/>
  <c r="I61" i="246"/>
  <c r="T72" i="246" s="1"/>
  <c r="I60" i="246"/>
  <c r="K61" i="246"/>
  <c r="T73" i="246" s="1"/>
  <c r="K60" i="246"/>
  <c r="S73" i="246" s="1"/>
  <c r="J6" i="246"/>
  <c r="J9" i="246"/>
  <c r="L6" i="246"/>
  <c r="H6" i="246"/>
  <c r="L9" i="246"/>
  <c r="C18" i="246"/>
  <c r="C10" i="246"/>
  <c r="C20" i="246"/>
  <c r="C12" i="246"/>
  <c r="K20" i="246"/>
  <c r="K10" i="246"/>
  <c r="K18" i="246"/>
  <c r="K12" i="246"/>
  <c r="I20" i="246"/>
  <c r="I18" i="246"/>
  <c r="I12" i="246"/>
  <c r="I10" i="246"/>
  <c r="G18" i="246"/>
  <c r="G12" i="246"/>
  <c r="G20" i="246"/>
  <c r="G10" i="246"/>
  <c r="E18" i="246"/>
  <c r="E20" i="246"/>
  <c r="E10" i="246"/>
  <c r="E12" i="246"/>
  <c r="C31" i="245"/>
  <c r="E63" i="246" l="1"/>
  <c r="C63" i="246"/>
  <c r="I63" i="246"/>
  <c r="S72" i="246"/>
  <c r="G63" i="246"/>
  <c r="S71" i="246"/>
  <c r="K85" i="246"/>
  <c r="C85" i="246"/>
  <c r="I85" i="246"/>
  <c r="E83" i="246"/>
  <c r="E84" i="246" s="1"/>
  <c r="G83" i="246"/>
  <c r="G84" i="246"/>
  <c r="K63" i="246"/>
  <c r="P5" i="246"/>
  <c r="Q5" i="246" s="1"/>
  <c r="P6" i="246"/>
  <c r="Q6" i="246" s="1"/>
  <c r="P7" i="246"/>
  <c r="Q7" i="246" s="1"/>
  <c r="P8" i="246"/>
  <c r="Q8" i="246" s="1"/>
  <c r="C21" i="246"/>
  <c r="P4" i="246"/>
  <c r="Q4" i="246" s="1"/>
  <c r="F10" i="246"/>
  <c r="L10" i="246"/>
  <c r="L20" i="246"/>
  <c r="U8" i="246" s="1"/>
  <c r="F18" i="246"/>
  <c r="H10" i="246"/>
  <c r="J18" i="246"/>
  <c r="H20" i="246"/>
  <c r="U6" i="246" s="1"/>
  <c r="H12" i="246"/>
  <c r="H18" i="246"/>
  <c r="J10" i="246"/>
  <c r="J12" i="246"/>
  <c r="J20" i="246"/>
  <c r="U7" i="246" s="1"/>
  <c r="L12" i="246"/>
  <c r="L18" i="246"/>
  <c r="F12" i="246"/>
  <c r="F20" i="246"/>
  <c r="U5" i="246" s="1"/>
  <c r="G13" i="246"/>
  <c r="G14" i="246" s="1"/>
  <c r="G21" i="246"/>
  <c r="I13" i="246"/>
  <c r="I14" i="246" s="1"/>
  <c r="I21" i="246"/>
  <c r="K13" i="246"/>
  <c r="K14" i="246" s="1"/>
  <c r="K21" i="246"/>
  <c r="E13" i="246"/>
  <c r="C13" i="246"/>
  <c r="C14" i="246" s="1"/>
  <c r="E21" i="246"/>
  <c r="Q31" i="240"/>
  <c r="P31" i="240"/>
  <c r="O31" i="240"/>
  <c r="N31" i="240"/>
  <c r="M31" i="240"/>
  <c r="H31" i="240"/>
  <c r="G31" i="240"/>
  <c r="F31" i="240"/>
  <c r="E31" i="240"/>
  <c r="D31" i="240"/>
  <c r="J28" i="240"/>
  <c r="A28" i="240"/>
  <c r="M21" i="240"/>
  <c r="Q27" i="240" s="1"/>
  <c r="D21" i="240"/>
  <c r="F27" i="240" s="1"/>
  <c r="X14" i="240"/>
  <c r="C14" i="240"/>
  <c r="C15" i="240" s="1"/>
  <c r="Y13" i="240"/>
  <c r="Y14" i="240" s="1"/>
  <c r="Y15" i="240" s="1"/>
  <c r="X13" i="240"/>
  <c r="X15" i="240" s="1"/>
  <c r="K13" i="240"/>
  <c r="K14" i="240" s="1"/>
  <c r="G13" i="240"/>
  <c r="G14" i="240" s="1"/>
  <c r="G15" i="240" s="1"/>
  <c r="D13" i="240"/>
  <c r="C13" i="240"/>
  <c r="Z12" i="240"/>
  <c r="Z13" i="240" s="1"/>
  <c r="Y12" i="240"/>
  <c r="X12" i="240"/>
  <c r="W12" i="240"/>
  <c r="W13" i="240" s="1"/>
  <c r="V12" i="240"/>
  <c r="V13" i="240" s="1"/>
  <c r="U12" i="240"/>
  <c r="U13" i="240" s="1"/>
  <c r="T12" i="240"/>
  <c r="T13" i="240" s="1"/>
  <c r="Q12" i="240"/>
  <c r="Q13" i="240" s="1"/>
  <c r="P12" i="240"/>
  <c r="P13" i="240" s="1"/>
  <c r="O12" i="240"/>
  <c r="O13" i="240" s="1"/>
  <c r="N12" i="240"/>
  <c r="N13" i="240" s="1"/>
  <c r="M12" i="240"/>
  <c r="M13" i="240" s="1"/>
  <c r="L12" i="240"/>
  <c r="L13" i="240" s="1"/>
  <c r="K12" i="240"/>
  <c r="H12" i="240"/>
  <c r="H13" i="240" s="1"/>
  <c r="G12" i="240"/>
  <c r="F12" i="240"/>
  <c r="F13" i="240" s="1"/>
  <c r="E12" i="240"/>
  <c r="E13" i="240" s="1"/>
  <c r="D12" i="240"/>
  <c r="C12" i="240"/>
  <c r="B12" i="240"/>
  <c r="B13" i="240" s="1"/>
  <c r="Z9" i="240"/>
  <c r="M9" i="240"/>
  <c r="K9" i="240"/>
  <c r="F9" i="240"/>
  <c r="E9" i="240"/>
  <c r="C9" i="240"/>
  <c r="B9" i="240"/>
  <c r="Z5" i="240"/>
  <c r="Y5" i="240"/>
  <c r="Y9" i="240" s="1"/>
  <c r="X5" i="240"/>
  <c r="X9" i="240" s="1"/>
  <c r="W5" i="240"/>
  <c r="W9" i="240" s="1"/>
  <c r="V5" i="240"/>
  <c r="V9" i="240" s="1"/>
  <c r="U5" i="240"/>
  <c r="U9" i="240" s="1"/>
  <c r="T5" i="240"/>
  <c r="T9" i="240" s="1"/>
  <c r="Q5" i="240"/>
  <c r="Q9" i="240" s="1"/>
  <c r="P5" i="240"/>
  <c r="P9" i="240" s="1"/>
  <c r="O5" i="240"/>
  <c r="O9" i="240" s="1"/>
  <c r="N5" i="240"/>
  <c r="N9" i="240" s="1"/>
  <c r="M5" i="240"/>
  <c r="L5" i="240"/>
  <c r="L9" i="240" s="1"/>
  <c r="K5" i="240"/>
  <c r="H5" i="240"/>
  <c r="H9" i="240" s="1"/>
  <c r="G5" i="240"/>
  <c r="G9" i="240" s="1"/>
  <c r="F5" i="240"/>
  <c r="E5" i="240"/>
  <c r="D5" i="240"/>
  <c r="D9" i="240" s="1"/>
  <c r="D27" i="240" s="1"/>
  <c r="C5" i="240"/>
  <c r="B5" i="240"/>
  <c r="C54" i="246" l="1"/>
  <c r="C49" i="246" s="1"/>
  <c r="C50" i="246" s="1"/>
  <c r="C94" i="246" s="1"/>
  <c r="C93" i="246"/>
  <c r="K54" i="246"/>
  <c r="K93" i="246"/>
  <c r="I54" i="246"/>
  <c r="I93" i="246"/>
  <c r="G54" i="246"/>
  <c r="G93" i="246"/>
  <c r="E85" i="246"/>
  <c r="G85" i="246"/>
  <c r="F21" i="246"/>
  <c r="H13" i="246"/>
  <c r="L21" i="246"/>
  <c r="J21" i="246"/>
  <c r="L14" i="246"/>
  <c r="J14" i="246"/>
  <c r="L13" i="246"/>
  <c r="J13" i="246"/>
  <c r="H21" i="246"/>
  <c r="F13" i="246"/>
  <c r="C15" i="246"/>
  <c r="E14" i="246"/>
  <c r="E93" i="246" s="1"/>
  <c r="K15" i="246"/>
  <c r="I15" i="246"/>
  <c r="G15" i="246"/>
  <c r="G16" i="240"/>
  <c r="G17" i="240"/>
  <c r="G28" i="240" s="1"/>
  <c r="F14" i="240"/>
  <c r="F15" i="240" s="1"/>
  <c r="X17" i="240"/>
  <c r="X16" i="240"/>
  <c r="E14" i="240"/>
  <c r="E15" i="240" s="1"/>
  <c r="H14" i="240"/>
  <c r="H15" i="240" s="1"/>
  <c r="Y17" i="240"/>
  <c r="Y16" i="240"/>
  <c r="C17" i="240"/>
  <c r="C16" i="240"/>
  <c r="M14" i="240"/>
  <c r="M15" i="240" s="1"/>
  <c r="N14" i="240"/>
  <c r="N15" i="240" s="1"/>
  <c r="L14" i="240"/>
  <c r="L15" i="240" s="1"/>
  <c r="O14" i="240"/>
  <c r="O15" i="240" s="1"/>
  <c r="P14" i="240"/>
  <c r="P15" i="240" s="1"/>
  <c r="U14" i="240"/>
  <c r="U15" i="240" s="1"/>
  <c r="Q14" i="240"/>
  <c r="Q15" i="240" s="1"/>
  <c r="T14" i="240"/>
  <c r="T15" i="240" s="1"/>
  <c r="B14" i="240"/>
  <c r="B15" i="240" s="1"/>
  <c r="Z14" i="240"/>
  <c r="Z15" i="240" s="1"/>
  <c r="V14" i="240"/>
  <c r="V15" i="240" s="1"/>
  <c r="W14" i="240"/>
  <c r="W15" i="240" s="1"/>
  <c r="M27" i="240"/>
  <c r="N27" i="240"/>
  <c r="E27" i="240"/>
  <c r="G27" i="240"/>
  <c r="G30" i="240" s="1"/>
  <c r="G32" i="240" s="1"/>
  <c r="K15" i="240"/>
  <c r="O27" i="240"/>
  <c r="P27" i="240"/>
  <c r="D14" i="240"/>
  <c r="D15" i="240" s="1"/>
  <c r="H27" i="240"/>
  <c r="C95" i="246" l="1"/>
  <c r="C51" i="246"/>
  <c r="C26" i="246" s="1"/>
  <c r="C73" i="246"/>
  <c r="Q61" i="246" s="1"/>
  <c r="F14" i="246"/>
  <c r="E54" i="246"/>
  <c r="E49" i="246" s="1"/>
  <c r="G49" i="246" s="1"/>
  <c r="I49" i="246" s="1"/>
  <c r="K49" i="246" s="1"/>
  <c r="J15" i="246"/>
  <c r="L15" i="246"/>
  <c r="H14" i="246"/>
  <c r="E15" i="246"/>
  <c r="F15" i="246" s="1"/>
  <c r="B17" i="240"/>
  <c r="B16" i="240"/>
  <c r="T17" i="240"/>
  <c r="T16" i="240"/>
  <c r="Q17" i="240"/>
  <c r="Q28" i="240" s="1"/>
  <c r="Q30" i="240" s="1"/>
  <c r="Q32" i="240" s="1"/>
  <c r="Q16" i="240"/>
  <c r="U16" i="240"/>
  <c r="U17" i="240"/>
  <c r="P16" i="240"/>
  <c r="P17" i="240"/>
  <c r="P28" i="240" s="1"/>
  <c r="P30" i="240" s="1"/>
  <c r="P32" i="240" s="1"/>
  <c r="O17" i="240"/>
  <c r="O28" i="240" s="1"/>
  <c r="O30" i="240" s="1"/>
  <c r="O32" i="240" s="1"/>
  <c r="O16" i="240"/>
  <c r="L16" i="240"/>
  <c r="L17" i="240"/>
  <c r="N17" i="240"/>
  <c r="N28" i="240" s="1"/>
  <c r="N16" i="240"/>
  <c r="M16" i="240"/>
  <c r="M17" i="240"/>
  <c r="M28" i="240" s="1"/>
  <c r="D17" i="240"/>
  <c r="D28" i="240" s="1"/>
  <c r="D30" i="240" s="1"/>
  <c r="D32" i="240" s="1"/>
  <c r="D16" i="240"/>
  <c r="H17" i="240"/>
  <c r="H28" i="240" s="1"/>
  <c r="H30" i="240" s="1"/>
  <c r="H32" i="240" s="1"/>
  <c r="H16" i="240"/>
  <c r="E16" i="240"/>
  <c r="E17" i="240"/>
  <c r="E28" i="240" s="1"/>
  <c r="E30" i="240" s="1"/>
  <c r="E32" i="240" s="1"/>
  <c r="W17" i="240"/>
  <c r="W16" i="240"/>
  <c r="F16" i="240"/>
  <c r="F17" i="240"/>
  <c r="F28" i="240" s="1"/>
  <c r="F30" i="240" s="1"/>
  <c r="F32" i="240" s="1"/>
  <c r="V17" i="240"/>
  <c r="V16" i="240"/>
  <c r="Z17" i="240"/>
  <c r="Z16" i="240"/>
  <c r="K17" i="240"/>
  <c r="K16" i="240"/>
  <c r="N30" i="240"/>
  <c r="N32" i="240" s="1"/>
  <c r="M30" i="240"/>
  <c r="M32" i="240" s="1"/>
  <c r="C97" i="246" l="1"/>
  <c r="R94" i="246"/>
  <c r="C29" i="246"/>
  <c r="C70" i="246"/>
  <c r="C75" i="246"/>
  <c r="C74" i="246" s="1"/>
  <c r="C107" i="246" s="1"/>
  <c r="H15" i="246"/>
  <c r="AK14" i="236"/>
  <c r="AK17" i="236" s="1"/>
  <c r="AF17" i="236"/>
  <c r="C50" i="236"/>
  <c r="C51" i="236"/>
  <c r="C52" i="236"/>
  <c r="C49" i="236"/>
  <c r="C41" i="236"/>
  <c r="C38" i="236"/>
  <c r="V7" i="236"/>
  <c r="V8" i="236"/>
  <c r="V9" i="236"/>
  <c r="V10" i="236"/>
  <c r="V11" i="236"/>
  <c r="V12" i="236"/>
  <c r="V13" i="236"/>
  <c r="V14" i="236"/>
  <c r="V15" i="236"/>
  <c r="V16" i="236"/>
  <c r="V17" i="236"/>
  <c r="V18" i="236"/>
  <c r="V19" i="236"/>
  <c r="V20" i="236"/>
  <c r="V21" i="236"/>
  <c r="V22" i="236"/>
  <c r="V6" i="236"/>
  <c r="U7" i="236"/>
  <c r="U8" i="236"/>
  <c r="U9" i="236"/>
  <c r="U10" i="236"/>
  <c r="U11" i="236"/>
  <c r="U12" i="236"/>
  <c r="U13" i="236"/>
  <c r="U14" i="236"/>
  <c r="U15" i="236"/>
  <c r="U16" i="236"/>
  <c r="U17" i="236"/>
  <c r="U18" i="236"/>
  <c r="U19" i="236"/>
  <c r="U20" i="236"/>
  <c r="U21" i="236"/>
  <c r="U22" i="236"/>
  <c r="U6" i="236"/>
  <c r="P31" i="236"/>
  <c r="O31" i="236"/>
  <c r="N31" i="236"/>
  <c r="M31" i="236"/>
  <c r="L31" i="236"/>
  <c r="K31" i="236"/>
  <c r="J31" i="236"/>
  <c r="I31" i="236"/>
  <c r="H31" i="236"/>
  <c r="G31" i="236"/>
  <c r="F31" i="236"/>
  <c r="E31" i="236"/>
  <c r="D31" i="236"/>
  <c r="C31" i="236"/>
  <c r="E22" i="236"/>
  <c r="F22" i="236"/>
  <c r="G22" i="236"/>
  <c r="H22" i="236"/>
  <c r="I22" i="236"/>
  <c r="J22" i="236"/>
  <c r="K22" i="236"/>
  <c r="L22" i="236"/>
  <c r="M22" i="236"/>
  <c r="N22" i="236"/>
  <c r="O22" i="236"/>
  <c r="P22" i="236"/>
  <c r="D22" i="236"/>
  <c r="C22" i="236"/>
  <c r="E13" i="236"/>
  <c r="F38" i="236" s="1"/>
  <c r="E14" i="236"/>
  <c r="G38" i="236" s="1"/>
  <c r="C14" i="236"/>
  <c r="G36" i="236" s="1"/>
  <c r="C13" i="236"/>
  <c r="F36" i="236" s="1"/>
  <c r="C12" i="236"/>
  <c r="E36" i="236" s="1"/>
  <c r="C11" i="236"/>
  <c r="D36" i="236" s="1"/>
  <c r="O5" i="236"/>
  <c r="P5" i="236" s="1"/>
  <c r="M5" i="236"/>
  <c r="K5" i="236"/>
  <c r="C5" i="236"/>
  <c r="N4" i="236"/>
  <c r="O4" i="236" s="1"/>
  <c r="K4" i="236"/>
  <c r="C77" i="246" l="1"/>
  <c r="C78" i="246"/>
  <c r="R61" i="246" s="1"/>
  <c r="C86" i="246"/>
  <c r="C88" i="246" s="1"/>
  <c r="P94" i="246" s="1"/>
  <c r="C72" i="246"/>
  <c r="C101" i="246" s="1"/>
  <c r="C117" i="246" s="1"/>
  <c r="C89" i="246" s="1"/>
  <c r="Q94" i="246" s="1"/>
  <c r="C35" i="246"/>
  <c r="C80" i="246"/>
  <c r="C79" i="246"/>
  <c r="S61" i="246" s="1"/>
  <c r="AE14" i="236"/>
  <c r="AE17" i="236" s="1"/>
  <c r="T14" i="236"/>
  <c r="D52" i="236"/>
  <c r="E52" i="236" s="1"/>
  <c r="F52" i="236" s="1"/>
  <c r="G52" i="236" s="1"/>
  <c r="H52" i="236" s="1"/>
  <c r="I52" i="236" s="1"/>
  <c r="J52" i="236" s="1"/>
  <c r="K52" i="236" s="1"/>
  <c r="L52" i="236" s="1"/>
  <c r="M52" i="236" s="1"/>
  <c r="N52" i="236" s="1"/>
  <c r="O52" i="236" s="1"/>
  <c r="AM4" i="236" s="1"/>
  <c r="D49" i="236"/>
  <c r="E49" i="236" s="1"/>
  <c r="F49" i="236" s="1"/>
  <c r="G49" i="236" s="1"/>
  <c r="H49" i="236" s="1"/>
  <c r="I49" i="236" s="1"/>
  <c r="J49" i="236" s="1"/>
  <c r="K49" i="236" s="1"/>
  <c r="L49" i="236" s="1"/>
  <c r="M49" i="236" s="1"/>
  <c r="N49" i="236" s="1"/>
  <c r="O49" i="236" s="1"/>
  <c r="AJ4" i="236" s="1"/>
  <c r="D51" i="236"/>
  <c r="E51" i="236" s="1"/>
  <c r="F51" i="236" s="1"/>
  <c r="G51" i="236" s="1"/>
  <c r="H51" i="236" s="1"/>
  <c r="I51" i="236" s="1"/>
  <c r="J51" i="236" s="1"/>
  <c r="K51" i="236" s="1"/>
  <c r="L51" i="236" s="1"/>
  <c r="M51" i="236" s="1"/>
  <c r="N51" i="236" s="1"/>
  <c r="O51" i="236" s="1"/>
  <c r="AL4" i="236" s="1"/>
  <c r="D50" i="236"/>
  <c r="E50" i="236" s="1"/>
  <c r="F50" i="236" s="1"/>
  <c r="G50" i="236" s="1"/>
  <c r="H50" i="236" s="1"/>
  <c r="I50" i="236" s="1"/>
  <c r="J50" i="236" s="1"/>
  <c r="K50" i="236" s="1"/>
  <c r="L50" i="236" s="1"/>
  <c r="M50" i="236" s="1"/>
  <c r="N50" i="236" s="1"/>
  <c r="O50" i="236" s="1"/>
  <c r="AK4" i="236" s="1"/>
  <c r="AG14" i="236"/>
  <c r="AH14" i="236"/>
  <c r="AE4" i="236"/>
  <c r="X21" i="236"/>
  <c r="AF4" i="236"/>
  <c r="AH4" i="236"/>
  <c r="AG4" i="236"/>
  <c r="W22" i="236"/>
  <c r="T22" i="236"/>
  <c r="AB22" i="236" s="1"/>
  <c r="T17" i="236"/>
  <c r="T10" i="236"/>
  <c r="W21" i="236"/>
  <c r="T9" i="236"/>
  <c r="W20" i="236"/>
  <c r="T8" i="236"/>
  <c r="W10" i="236"/>
  <c r="Z10" i="236" s="1"/>
  <c r="T7" i="236"/>
  <c r="T19" i="236"/>
  <c r="W15" i="236"/>
  <c r="W14" i="236"/>
  <c r="W13" i="236"/>
  <c r="W12" i="236"/>
  <c r="T21" i="236"/>
  <c r="T13" i="236"/>
  <c r="T20" i="236"/>
  <c r="T18" i="236"/>
  <c r="X22" i="236"/>
  <c r="T12" i="236"/>
  <c r="W6" i="236"/>
  <c r="T11" i="236"/>
  <c r="T6" i="236"/>
  <c r="G37" i="236"/>
  <c r="F37" i="236"/>
  <c r="X17" i="236"/>
  <c r="W19" i="236"/>
  <c r="X16" i="236"/>
  <c r="W18" i="236"/>
  <c r="X15" i="236"/>
  <c r="W17" i="236"/>
  <c r="X14" i="236"/>
  <c r="AA14" i="236" s="1"/>
  <c r="AB14" i="236" s="1"/>
  <c r="W16" i="236"/>
  <c r="X13" i="236"/>
  <c r="Z13" i="236" s="1"/>
  <c r="X18" i="236"/>
  <c r="X7" i="236"/>
  <c r="T16" i="236"/>
  <c r="AB16" i="236" s="1"/>
  <c r="W7" i="236"/>
  <c r="X12" i="236"/>
  <c r="X10" i="236"/>
  <c r="W11" i="236"/>
  <c r="X8" i="236"/>
  <c r="W9" i="236"/>
  <c r="W8" i="236"/>
  <c r="T15" i="236"/>
  <c r="X6" i="236"/>
  <c r="X20" i="236"/>
  <c r="X19" i="236"/>
  <c r="X11" i="236"/>
  <c r="X9" i="236"/>
  <c r="C24" i="236"/>
  <c r="C23" i="236"/>
  <c r="C32" i="236"/>
  <c r="C33" i="236"/>
  <c r="D12" i="236"/>
  <c r="E12" i="236"/>
  <c r="E38" i="236" s="1"/>
  <c r="E37" i="236" s="1"/>
  <c r="L4" i="236"/>
  <c r="P4" i="236"/>
  <c r="S9" i="236" s="1"/>
  <c r="C6" i="236"/>
  <c r="D13" i="236" s="1"/>
  <c r="C90" i="246" l="1"/>
  <c r="AH15" i="236"/>
  <c r="AH17" i="236"/>
  <c r="AH18" i="236" s="1"/>
  <c r="AH19" i="236" s="1"/>
  <c r="AH20" i="236" s="1"/>
  <c r="AM14" i="236"/>
  <c r="AM17" i="236" s="1"/>
  <c r="AM18" i="236" s="1"/>
  <c r="AL14" i="236"/>
  <c r="AL17" i="236" s="1"/>
  <c r="AG17" i="236"/>
  <c r="Z21" i="236"/>
  <c r="AJ14" i="236"/>
  <c r="AK5" i="236"/>
  <c r="AF5" i="236"/>
  <c r="AM5" i="236"/>
  <c r="AH5" i="236"/>
  <c r="AH12" i="236" s="1"/>
  <c r="S8" i="236"/>
  <c r="Y8" i="236" s="1"/>
  <c r="Z16" i="236"/>
  <c r="Z17" i="236"/>
  <c r="S19" i="236"/>
  <c r="Y19" i="236" s="1"/>
  <c r="Z22" i="236"/>
  <c r="S17" i="236"/>
  <c r="S22" i="236"/>
  <c r="Y22" i="236" s="1"/>
  <c r="Z12" i="236"/>
  <c r="Z15" i="236"/>
  <c r="Z20" i="236"/>
  <c r="Y17" i="236"/>
  <c r="AB25" i="236"/>
  <c r="Z6" i="236"/>
  <c r="Y9" i="236"/>
  <c r="F41" i="236"/>
  <c r="F44" i="236"/>
  <c r="G41" i="236"/>
  <c r="G44" i="236"/>
  <c r="S18" i="236"/>
  <c r="Y18" i="236" s="1"/>
  <c r="S14" i="236"/>
  <c r="Y14" i="236" s="1"/>
  <c r="S15" i="236"/>
  <c r="Y15" i="236" s="1"/>
  <c r="S13" i="236"/>
  <c r="Y13" i="236" s="1"/>
  <c r="S7" i="236"/>
  <c r="Y7" i="236" s="1"/>
  <c r="S11" i="236"/>
  <c r="Y11" i="236" s="1"/>
  <c r="S12" i="236"/>
  <c r="Y12" i="236" s="1"/>
  <c r="AA8" i="236"/>
  <c r="AB8" i="236" s="1"/>
  <c r="AB24" i="236" s="1"/>
  <c r="Z8" i="236"/>
  <c r="E41" i="236"/>
  <c r="E44" i="236"/>
  <c r="S20" i="236"/>
  <c r="Y20" i="236" s="1"/>
  <c r="Z18" i="236"/>
  <c r="Z9" i="236"/>
  <c r="S10" i="236"/>
  <c r="Y10" i="236" s="1"/>
  <c r="S21" i="236"/>
  <c r="Y21" i="236" s="1"/>
  <c r="Z19" i="236"/>
  <c r="Z11" i="236"/>
  <c r="S6" i="236"/>
  <c r="Y6" i="236" s="1"/>
  <c r="S16" i="236"/>
  <c r="Z7" i="236"/>
  <c r="Z14" i="236"/>
  <c r="D11" i="236"/>
  <c r="E11" i="236"/>
  <c r="D38" i="236" s="1"/>
  <c r="D37" i="236" s="1"/>
  <c r="C7" i="236"/>
  <c r="D14" i="236" s="1"/>
  <c r="AM19" i="236" l="1"/>
  <c r="AM20" i="236" s="1"/>
  <c r="AF12" i="236"/>
  <c r="AF15" i="236"/>
  <c r="AF18" i="236"/>
  <c r="AF19" i="236" s="1"/>
  <c r="AF20" i="236" s="1"/>
  <c r="AK12" i="236"/>
  <c r="AK18" i="236"/>
  <c r="AK15" i="236"/>
  <c r="AK19" i="236" s="1"/>
  <c r="AK20" i="236" s="1"/>
  <c r="AA22" i="236"/>
  <c r="AA25" i="236" s="1"/>
  <c r="AM12" i="236"/>
  <c r="AM15" i="236"/>
  <c r="AJ17" i="236"/>
  <c r="AL5" i="236"/>
  <c r="AE5" i="236"/>
  <c r="AG5" i="236"/>
  <c r="AH9" i="236"/>
  <c r="AH6" i="236"/>
  <c r="AM9" i="236"/>
  <c r="AM6" i="236"/>
  <c r="AF6" i="236"/>
  <c r="AF9" i="236"/>
  <c r="AK9" i="236"/>
  <c r="AK6" i="236"/>
  <c r="D41" i="236"/>
  <c r="D44" i="236"/>
  <c r="AA16" i="236"/>
  <c r="AA24" i="236" s="1"/>
  <c r="Y16" i="236"/>
  <c r="AG12" i="236" l="1"/>
  <c r="AG15" i="236"/>
  <c r="AE12" i="236"/>
  <c r="AE15" i="236"/>
  <c r="AE18" i="236"/>
  <c r="AE19" i="236" s="1"/>
  <c r="AE20" i="236" s="1"/>
  <c r="AL12" i="236"/>
  <c r="AL18" i="236"/>
  <c r="AL15" i="236"/>
  <c r="AG18" i="236"/>
  <c r="AL6" i="236"/>
  <c r="AL9" i="236"/>
  <c r="AG6" i="236"/>
  <c r="AG9" i="236"/>
  <c r="AE9" i="236"/>
  <c r="AJ5" i="236"/>
  <c r="AJ12" i="236" l="1"/>
  <c r="AJ15" i="236"/>
  <c r="AJ18" i="236"/>
  <c r="AJ19" i="236" s="1"/>
  <c r="AJ20" i="236" s="1"/>
  <c r="AG19" i="236"/>
  <c r="AG20" i="236" s="1"/>
  <c r="AL19" i="236"/>
  <c r="AL20" i="236" s="1"/>
  <c r="AJ6" i="236"/>
  <c r="AJ9" i="236"/>
  <c r="C22" i="229" l="1"/>
  <c r="C21" i="229"/>
  <c r="C23" i="229" s="1"/>
  <c r="C20" i="229"/>
  <c r="C19" i="229"/>
  <c r="C18" i="229"/>
  <c r="C12" i="229"/>
  <c r="C14" i="229" s="1"/>
  <c r="C10" i="229"/>
  <c r="C11" i="229" s="1"/>
  <c r="C9" i="229"/>
  <c r="C8" i="229"/>
  <c r="C32" i="226"/>
  <c r="C11" i="226" s="1"/>
  <c r="G7" i="226"/>
  <c r="L13" i="226"/>
  <c r="M13" i="226" s="1"/>
  <c r="M14" i="226" s="1"/>
  <c r="E19" i="226" s="1"/>
  <c r="G33" i="226"/>
  <c r="F33" i="226"/>
  <c r="E33" i="226"/>
  <c r="D33" i="226"/>
  <c r="L31" i="226"/>
  <c r="M31" i="226" s="1"/>
  <c r="K27" i="226"/>
  <c r="L27" i="226" s="1"/>
  <c r="M27" i="226" s="1"/>
  <c r="N27" i="226" s="1"/>
  <c r="O27" i="226" s="1"/>
  <c r="L11" i="226"/>
  <c r="K26" i="226"/>
  <c r="L26" i="226" s="1"/>
  <c r="M26" i="226" s="1"/>
  <c r="N26" i="226" s="1"/>
  <c r="C33" i="226"/>
  <c r="C31" i="226"/>
  <c r="C34" i="226"/>
  <c r="K14" i="226"/>
  <c r="C19" i="226" s="1"/>
  <c r="K9" i="226"/>
  <c r="D5" i="226"/>
  <c r="D6" i="226" s="1"/>
  <c r="E5" i="226"/>
  <c r="E9" i="226" s="1"/>
  <c r="F5" i="226"/>
  <c r="F6" i="226" s="1"/>
  <c r="C5" i="226"/>
  <c r="C6" i="226" s="1"/>
  <c r="G6" i="226" s="1"/>
  <c r="L12" i="226" l="1"/>
  <c r="L8" i="226" s="1"/>
  <c r="L9" i="226" s="1"/>
  <c r="C15" i="229"/>
  <c r="I13" i="229" s="1"/>
  <c r="E23" i="229"/>
  <c r="I12" i="229"/>
  <c r="L14" i="226"/>
  <c r="D19" i="226" s="1"/>
  <c r="C35" i="226"/>
  <c r="N31" i="226"/>
  <c r="M11" i="226"/>
  <c r="M12" i="226" s="1"/>
  <c r="M8" i="226" s="1"/>
  <c r="D31" i="226"/>
  <c r="D32" i="226"/>
  <c r="E32" i="226" s="1"/>
  <c r="N13" i="226"/>
  <c r="F9" i="226"/>
  <c r="F12" i="226" s="1"/>
  <c r="F13" i="226" s="1"/>
  <c r="F14" i="226" s="1"/>
  <c r="F15" i="226" s="1"/>
  <c r="E6" i="226"/>
  <c r="C9" i="226"/>
  <c r="E18" i="226"/>
  <c r="E20" i="226" s="1"/>
  <c r="E21" i="226" s="1"/>
  <c r="E12" i="226"/>
  <c r="E13" i="226" s="1"/>
  <c r="E14" i="226" s="1"/>
  <c r="E15" i="226" s="1"/>
  <c r="M3" i="226"/>
  <c r="E10" i="226"/>
  <c r="D9" i="226"/>
  <c r="D37" i="211"/>
  <c r="D38" i="211" s="1"/>
  <c r="D32" i="211"/>
  <c r="D17" i="211"/>
  <c r="D15" i="211"/>
  <c r="E15" i="211" s="1"/>
  <c r="J14" i="211"/>
  <c r="I14" i="211"/>
  <c r="H14" i="211"/>
  <c r="G14" i="211"/>
  <c r="E6" i="211"/>
  <c r="D6" i="211"/>
  <c r="F3" i="211"/>
  <c r="G3" i="211" s="1"/>
  <c r="G6" i="211" s="1"/>
  <c r="K32" i="210"/>
  <c r="K33" i="210"/>
  <c r="J32" i="210"/>
  <c r="I32" i="210"/>
  <c r="H32" i="210"/>
  <c r="G32" i="210"/>
  <c r="F32" i="210"/>
  <c r="E32" i="210"/>
  <c r="D32" i="210"/>
  <c r="N28" i="210"/>
  <c r="M28" i="210"/>
  <c r="L28" i="210"/>
  <c r="K28" i="210"/>
  <c r="J28" i="210"/>
  <c r="I28" i="210"/>
  <c r="H28" i="210"/>
  <c r="G28" i="210"/>
  <c r="F28" i="210"/>
  <c r="E28" i="210"/>
  <c r="D30" i="210"/>
  <c r="N20" i="210"/>
  <c r="M20" i="210"/>
  <c r="L20" i="210"/>
  <c r="K20" i="210"/>
  <c r="J20" i="210"/>
  <c r="I20" i="210"/>
  <c r="K23" i="210"/>
  <c r="J23" i="210"/>
  <c r="I23" i="210"/>
  <c r="H23" i="210"/>
  <c r="G23" i="210"/>
  <c r="E23" i="210"/>
  <c r="D23" i="210"/>
  <c r="K22" i="210"/>
  <c r="H21" i="210"/>
  <c r="H20" i="210"/>
  <c r="G20" i="210"/>
  <c r="F20" i="210"/>
  <c r="F23" i="210" s="1"/>
  <c r="D25" i="210" s="1"/>
  <c r="E20" i="210"/>
  <c r="D20" i="210"/>
  <c r="E40" i="210"/>
  <c r="E41" i="210" s="1"/>
  <c r="E39" i="210"/>
  <c r="D37" i="210"/>
  <c r="D38" i="210" s="1"/>
  <c r="J16" i="210"/>
  <c r="I16" i="210"/>
  <c r="H16" i="210"/>
  <c r="H17" i="210" s="1"/>
  <c r="G16" i="210"/>
  <c r="G17" i="210" s="1"/>
  <c r="F16" i="210"/>
  <c r="E16" i="210"/>
  <c r="E17" i="210" s="1"/>
  <c r="J17" i="210"/>
  <c r="I17" i="210"/>
  <c r="F17" i="210"/>
  <c r="D17" i="210"/>
  <c r="J14" i="210"/>
  <c r="I14" i="210"/>
  <c r="H14" i="210"/>
  <c r="G14" i="210"/>
  <c r="G15" i="210" s="1"/>
  <c r="H15" i="210" s="1"/>
  <c r="I15" i="210" s="1"/>
  <c r="J15" i="210" s="1"/>
  <c r="F15" i="210"/>
  <c r="E15" i="210"/>
  <c r="D15" i="210"/>
  <c r="E6" i="210"/>
  <c r="D6" i="210"/>
  <c r="F3" i="210"/>
  <c r="F6" i="210" s="1"/>
  <c r="G13" i="209"/>
  <c r="E13" i="209"/>
  <c r="G12" i="209"/>
  <c r="E10" i="209"/>
  <c r="F10" i="209" s="1"/>
  <c r="G10" i="209" s="1"/>
  <c r="D9" i="209"/>
  <c r="D11" i="209" s="1"/>
  <c r="C9" i="209"/>
  <c r="C11" i="209" s="1"/>
  <c r="F6" i="209"/>
  <c r="F4" i="209"/>
  <c r="G4" i="209" s="1"/>
  <c r="D18" i="208"/>
  <c r="D31" i="208"/>
  <c r="D32" i="208" s="1"/>
  <c r="D26" i="208"/>
  <c r="D19" i="208"/>
  <c r="E6" i="208"/>
  <c r="D6" i="208"/>
  <c r="E34" i="208" s="1"/>
  <c r="F3" i="208"/>
  <c r="F6" i="208" s="1"/>
  <c r="H3" i="211" l="1"/>
  <c r="I3" i="211" s="1"/>
  <c r="E16" i="211"/>
  <c r="E17" i="211" s="1"/>
  <c r="K3" i="226"/>
  <c r="K4" i="226" s="1"/>
  <c r="K5" i="226" s="1"/>
  <c r="I14" i="229"/>
  <c r="I8" i="229"/>
  <c r="I10" i="229" s="1"/>
  <c r="N14" i="226"/>
  <c r="F19" i="226" s="1"/>
  <c r="O13" i="226"/>
  <c r="G3" i="226" s="1"/>
  <c r="N11" i="226"/>
  <c r="N12" i="226" s="1"/>
  <c r="N8" i="226" s="1"/>
  <c r="M9" i="226"/>
  <c r="E31" i="226"/>
  <c r="N3" i="226"/>
  <c r="N4" i="226" s="1"/>
  <c r="N5" i="226" s="1"/>
  <c r="O31" i="226"/>
  <c r="D34" i="226"/>
  <c r="D35" i="226" s="1"/>
  <c r="F32" i="226"/>
  <c r="F18" i="226"/>
  <c r="F10" i="226"/>
  <c r="C10" i="226"/>
  <c r="C12" i="226"/>
  <c r="C13" i="226" s="1"/>
  <c r="C14" i="226" s="1"/>
  <c r="C15" i="226" s="1"/>
  <c r="M4" i="226"/>
  <c r="M5" i="226" s="1"/>
  <c r="C18" i="226"/>
  <c r="C20" i="226" s="1"/>
  <c r="C21" i="226" s="1"/>
  <c r="D12" i="226"/>
  <c r="D13" i="226" s="1"/>
  <c r="D14" i="226" s="1"/>
  <c r="D15" i="226" s="1"/>
  <c r="L3" i="226"/>
  <c r="D18" i="226"/>
  <c r="D20" i="226" s="1"/>
  <c r="D21" i="226" s="1"/>
  <c r="D10" i="226"/>
  <c r="J3" i="211"/>
  <c r="I6" i="211"/>
  <c r="H6" i="211"/>
  <c r="E40" i="211"/>
  <c r="F16" i="211"/>
  <c r="F17" i="211" s="1"/>
  <c r="F15" i="211"/>
  <c r="F6" i="211"/>
  <c r="E39" i="211"/>
  <c r="D29" i="210"/>
  <c r="D34" i="210" s="1"/>
  <c r="D24" i="210"/>
  <c r="E42" i="210"/>
  <c r="D42" i="210" s="1"/>
  <c r="D41" i="210"/>
  <c r="G3" i="210"/>
  <c r="E7" i="209"/>
  <c r="E20" i="208"/>
  <c r="F20" i="208" s="1"/>
  <c r="G3" i="208"/>
  <c r="E21" i="208" l="1"/>
  <c r="E24" i="208" s="1"/>
  <c r="F20" i="226"/>
  <c r="F21" i="226" s="1"/>
  <c r="N19" i="226"/>
  <c r="K18" i="226"/>
  <c r="K19" i="226"/>
  <c r="K24" i="226"/>
  <c r="F31" i="226"/>
  <c r="O11" i="226"/>
  <c r="O12" i="226" s="1"/>
  <c r="O8" i="226" s="1"/>
  <c r="N9" i="226"/>
  <c r="M19" i="226"/>
  <c r="G5" i="226"/>
  <c r="G9" i="226" s="1"/>
  <c r="G32" i="226"/>
  <c r="E34" i="226"/>
  <c r="E35" i="226" s="1"/>
  <c r="K25" i="226"/>
  <c r="K33" i="226" s="1"/>
  <c r="K20" i="226" s="1"/>
  <c r="M6" i="226"/>
  <c r="M18" i="226"/>
  <c r="K6" i="226"/>
  <c r="N6" i="226"/>
  <c r="L4" i="226"/>
  <c r="L5" i="226" s="1"/>
  <c r="L25" i="226" s="1"/>
  <c r="L33" i="226" s="1"/>
  <c r="D20" i="211"/>
  <c r="D23" i="211" s="1"/>
  <c r="E41" i="211"/>
  <c r="E42" i="211" s="1"/>
  <c r="D42" i="211" s="1"/>
  <c r="G16" i="211"/>
  <c r="G17" i="211" s="1"/>
  <c r="G15" i="211"/>
  <c r="K3" i="211"/>
  <c r="J6" i="211"/>
  <c r="D33" i="210"/>
  <c r="H3" i="210"/>
  <c r="G6" i="210"/>
  <c r="E9" i="209"/>
  <c r="E11" i="209" s="1"/>
  <c r="F7" i="209"/>
  <c r="F21" i="208"/>
  <c r="F24" i="208" s="1"/>
  <c r="G20" i="208"/>
  <c r="H3" i="208"/>
  <c r="G6" i="208"/>
  <c r="N18" i="226" l="1"/>
  <c r="G4" i="226"/>
  <c r="G18" i="226"/>
  <c r="O3" i="226"/>
  <c r="O4" i="226" s="1"/>
  <c r="O5" i="226" s="1"/>
  <c r="G10" i="226"/>
  <c r="G12" i="226"/>
  <c r="G13" i="226" s="1"/>
  <c r="G14" i="226" s="1"/>
  <c r="G15" i="226" s="1"/>
  <c r="L19" i="226"/>
  <c r="L20" i="226"/>
  <c r="L24" i="226"/>
  <c r="O9" i="226"/>
  <c r="G31" i="226"/>
  <c r="M25" i="226"/>
  <c r="M33" i="226" s="1"/>
  <c r="M20" i="226" s="1"/>
  <c r="M24" i="226"/>
  <c r="F34" i="226"/>
  <c r="F35" i="226" s="1"/>
  <c r="L6" i="226"/>
  <c r="L18" i="226"/>
  <c r="H15" i="211"/>
  <c r="H16" i="211"/>
  <c r="H17" i="211" s="1"/>
  <c r="K6" i="211"/>
  <c r="L3" i="211"/>
  <c r="D41" i="211"/>
  <c r="H6" i="210"/>
  <c r="I3" i="210"/>
  <c r="F9" i="209"/>
  <c r="F11" i="209" s="1"/>
  <c r="G7" i="209"/>
  <c r="G9" i="209" s="1"/>
  <c r="G11" i="209" s="1"/>
  <c r="G21" i="208"/>
  <c r="G24" i="208" s="1"/>
  <c r="H20" i="208"/>
  <c r="H6" i="208"/>
  <c r="I3" i="208"/>
  <c r="G28" i="211" l="1"/>
  <c r="G32" i="211" s="1"/>
  <c r="H21" i="211"/>
  <c r="G20" i="211"/>
  <c r="G23" i="211" s="1"/>
  <c r="K22" i="211"/>
  <c r="O6" i="226"/>
  <c r="O19" i="226"/>
  <c r="O18" i="226"/>
  <c r="N25" i="226"/>
  <c r="N33" i="226" s="1"/>
  <c r="N20" i="226" s="1"/>
  <c r="N24" i="226"/>
  <c r="G34" i="226"/>
  <c r="G35" i="226" s="1"/>
  <c r="H20" i="211"/>
  <c r="H28" i="211"/>
  <c r="H32" i="211" s="1"/>
  <c r="K28" i="211"/>
  <c r="K33" i="211" s="1"/>
  <c r="K20" i="211"/>
  <c r="E20" i="211"/>
  <c r="E23" i="211" s="1"/>
  <c r="E28" i="211"/>
  <c r="F20" i="211"/>
  <c r="F23" i="211" s="1"/>
  <c r="F28" i="211"/>
  <c r="F32" i="211" s="1"/>
  <c r="M3" i="211"/>
  <c r="L6" i="211"/>
  <c r="I15" i="211"/>
  <c r="I16" i="211"/>
  <c r="I17" i="211" s="1"/>
  <c r="I6" i="210"/>
  <c r="J3" i="210"/>
  <c r="H21" i="208"/>
  <c r="H24" i="208" s="1"/>
  <c r="I20" i="208"/>
  <c r="J3" i="208"/>
  <c r="I6" i="208"/>
  <c r="O25" i="226" l="1"/>
  <c r="O33" i="226" s="1"/>
  <c r="O20" i="226" s="1"/>
  <c r="O24" i="226"/>
  <c r="I28" i="211"/>
  <c r="I32" i="211" s="1"/>
  <c r="I20" i="211"/>
  <c r="I23" i="211" s="1"/>
  <c r="E32" i="211"/>
  <c r="J16" i="211"/>
  <c r="J17" i="211" s="1"/>
  <c r="J15" i="211"/>
  <c r="L20" i="211"/>
  <c r="L28" i="211"/>
  <c r="N3" i="211"/>
  <c r="N5" i="211" s="1"/>
  <c r="N6" i="211" s="1"/>
  <c r="M6" i="211"/>
  <c r="K32" i="211"/>
  <c r="D8" i="211"/>
  <c r="D9" i="211" s="1"/>
  <c r="K23" i="211"/>
  <c r="H23" i="211"/>
  <c r="K3" i="210"/>
  <c r="J6" i="210"/>
  <c r="J20" i="208"/>
  <c r="I21" i="208"/>
  <c r="I24" i="208" s="1"/>
  <c r="J6" i="208"/>
  <c r="K3" i="208"/>
  <c r="G9" i="188"/>
  <c r="G6" i="188"/>
  <c r="D10" i="188"/>
  <c r="D6" i="188"/>
  <c r="D12" i="188" l="1"/>
  <c r="M20" i="211"/>
  <c r="M28" i="211"/>
  <c r="N28" i="211"/>
  <c r="N20" i="211"/>
  <c r="D11" i="211"/>
  <c r="J20" i="211"/>
  <c r="J23" i="211" s="1"/>
  <c r="D25" i="211" s="1"/>
  <c r="J28" i="211"/>
  <c r="D29" i="211" s="1"/>
  <c r="L3" i="210"/>
  <c r="K6" i="210"/>
  <c r="J21" i="208"/>
  <c r="J24" i="208" s="1"/>
  <c r="K20" i="208"/>
  <c r="L3" i="208"/>
  <c r="K6" i="208"/>
  <c r="G12" i="188"/>
  <c r="J32" i="211" l="1"/>
  <c r="D30" i="211"/>
  <c r="D24" i="211"/>
  <c r="L6" i="210"/>
  <c r="M3" i="210"/>
  <c r="L20" i="208"/>
  <c r="K21" i="208"/>
  <c r="K24" i="208" s="1"/>
  <c r="L6" i="208"/>
  <c r="M3" i="208"/>
  <c r="D34" i="211" l="1"/>
  <c r="D33" i="211"/>
  <c r="N3" i="210"/>
  <c r="M6" i="210"/>
  <c r="L21" i="208"/>
  <c r="L24" i="208" s="1"/>
  <c r="M20" i="208"/>
  <c r="N3" i="208"/>
  <c r="M6" i="208"/>
  <c r="N5" i="208" l="1"/>
  <c r="N6" i="208" s="1"/>
  <c r="N5" i="210"/>
  <c r="N6" i="210" s="1"/>
  <c r="N20" i="208"/>
  <c r="N21" i="208" s="1"/>
  <c r="N22" i="208" s="1"/>
  <c r="M21" i="208"/>
  <c r="M24" i="208" s="1"/>
  <c r="D11" i="208"/>
  <c r="D8" i="208"/>
  <c r="D9" i="208" l="1"/>
  <c r="E33" i="208"/>
  <c r="D8" i="210"/>
  <c r="D11" i="210"/>
  <c r="N23" i="208"/>
  <c r="N24" i="208" s="1"/>
  <c r="E35" i="208" l="1"/>
  <c r="D34" i="208"/>
  <c r="D35" i="208" s="1"/>
  <c r="D9" i="210"/>
  <c r="D25" i="208"/>
  <c r="N26" i="208" l="1"/>
  <c r="J26" i="208"/>
  <c r="K26" i="208"/>
  <c r="G26" i="208"/>
  <c r="F26" i="208"/>
  <c r="E26" i="208"/>
  <c r="H26" i="208"/>
  <c r="I26" i="208"/>
  <c r="L26" i="208"/>
  <c r="M26" i="208"/>
  <c r="D27" i="208"/>
  <c r="D28" i="208"/>
  <c r="P19" i="129" l="1"/>
  <c r="P18" i="129"/>
  <c r="X13" i="129"/>
  <c r="R13" i="129"/>
  <c r="X12" i="129"/>
  <c r="R12" i="129"/>
  <c r="X11" i="129"/>
  <c r="R11" i="129"/>
  <c r="X10" i="129"/>
  <c r="S9" i="129"/>
  <c r="X8" i="129"/>
  <c r="S8" i="129"/>
  <c r="R8" i="129"/>
  <c r="Q8" i="129"/>
  <c r="P8" i="129"/>
  <c r="O8" i="129"/>
  <c r="X7" i="129"/>
  <c r="S7" i="129"/>
  <c r="S6" i="129"/>
  <c r="R6" i="129"/>
  <c r="Q6" i="129"/>
  <c r="P6" i="129"/>
  <c r="O6" i="129"/>
  <c r="X5" i="129"/>
  <c r="S5" i="129"/>
  <c r="R5" i="129"/>
  <c r="Q5" i="129"/>
  <c r="P5" i="129"/>
  <c r="O5" i="129"/>
  <c r="O7" i="129" s="1"/>
  <c r="O9" i="129" s="1"/>
  <c r="I12" i="131"/>
  <c r="I8" i="131"/>
  <c r="I5" i="131"/>
  <c r="I4" i="131"/>
  <c r="D23" i="137"/>
  <c r="I13" i="137"/>
  <c r="I14" i="137" s="1"/>
  <c r="D14" i="137" s="1"/>
  <c r="F4" i="137"/>
  <c r="G4" i="137" s="1"/>
  <c r="H4" i="137" s="1"/>
  <c r="J15" i="135"/>
  <c r="H14" i="135"/>
  <c r="I14" i="135" s="1"/>
  <c r="G14" i="135"/>
  <c r="D13" i="135"/>
  <c r="E11" i="135"/>
  <c r="F11" i="134"/>
  <c r="G11" i="134" s="1"/>
  <c r="H11" i="134" s="1"/>
  <c r="I11" i="134" s="1"/>
  <c r="J11" i="134" s="1"/>
  <c r="E6" i="134"/>
  <c r="E3" i="132"/>
  <c r="F3" i="132" s="1"/>
  <c r="G6" i="134" s="1"/>
  <c r="G5" i="132"/>
  <c r="H5" i="132"/>
  <c r="I5" i="132" s="1"/>
  <c r="D8" i="132"/>
  <c r="E4" i="134" s="1"/>
  <c r="E5" i="134" s="1"/>
  <c r="E10" i="134" s="1"/>
  <c r="E9" i="132"/>
  <c r="E12" i="132" s="1"/>
  <c r="D12" i="132"/>
  <c r="E13" i="132"/>
  <c r="G13" i="132"/>
  <c r="H13" i="132" s="1"/>
  <c r="I13" i="132" s="1"/>
  <c r="E15" i="132"/>
  <c r="F15" i="132" s="1"/>
  <c r="G15" i="132" s="1"/>
  <c r="H15" i="132" s="1"/>
  <c r="I15" i="132" s="1"/>
  <c r="D18" i="132"/>
  <c r="E18" i="132" s="1"/>
  <c r="F18" i="132" s="1"/>
  <c r="G18" i="132" s="1"/>
  <c r="H18" i="132" s="1"/>
  <c r="I18" i="132" s="1"/>
  <c r="L18" i="132"/>
  <c r="D19" i="132"/>
  <c r="E19" i="132"/>
  <c r="F19" i="132"/>
  <c r="G19" i="132"/>
  <c r="H19" i="132"/>
  <c r="I19" i="132"/>
  <c r="E18" i="131"/>
  <c r="E33" i="131" s="1"/>
  <c r="E9" i="131"/>
  <c r="E8" i="131"/>
  <c r="E21" i="131" s="1"/>
  <c r="E22" i="131" s="1"/>
  <c r="E24" i="131" s="1"/>
  <c r="I9" i="131" s="1"/>
  <c r="E6" i="131"/>
  <c r="E33" i="129"/>
  <c r="F33" i="129" s="1"/>
  <c r="G33" i="129" s="1"/>
  <c r="H33" i="129" s="1"/>
  <c r="D33" i="129"/>
  <c r="C29" i="129"/>
  <c r="O19" i="129" s="1"/>
  <c r="J10" i="129"/>
  <c r="J21" i="129" s="1"/>
  <c r="D29" i="129" s="1"/>
  <c r="F9" i="129"/>
  <c r="G9" i="129" s="1"/>
  <c r="D9" i="129"/>
  <c r="C8" i="129"/>
  <c r="C11" i="129" s="1"/>
  <c r="C34" i="129" s="1"/>
  <c r="G7" i="129"/>
  <c r="F7" i="129"/>
  <c r="F6" i="129"/>
  <c r="G6" i="129" s="1"/>
  <c r="G8" i="129" s="1"/>
  <c r="G11" i="129" s="1"/>
  <c r="L12" i="94"/>
  <c r="O18" i="129" l="1"/>
  <c r="E29" i="129"/>
  <c r="Q19" i="129" s="1"/>
  <c r="I6" i="131"/>
  <c r="I3" i="131"/>
  <c r="I33" i="131" s="1"/>
  <c r="I7" i="131"/>
  <c r="I35" i="131"/>
  <c r="E11" i="131"/>
  <c r="E14" i="131" s="1"/>
  <c r="E15" i="131" s="1"/>
  <c r="F6" i="134"/>
  <c r="F9" i="132"/>
  <c r="G9" i="132" s="1"/>
  <c r="G12" i="132" s="1"/>
  <c r="D4" i="135"/>
  <c r="E9" i="134" s="1"/>
  <c r="D10" i="135"/>
  <c r="D15" i="135" s="1"/>
  <c r="D22" i="135" s="1"/>
  <c r="D18" i="135" s="1"/>
  <c r="E6" i="135"/>
  <c r="F11" i="135"/>
  <c r="E4" i="135"/>
  <c r="E7" i="134"/>
  <c r="G3" i="132"/>
  <c r="H6" i="134" s="1"/>
  <c r="F8" i="132"/>
  <c r="E8" i="132"/>
  <c r="F13" i="129"/>
  <c r="E31" i="131"/>
  <c r="I16" i="131" s="1"/>
  <c r="E35" i="131"/>
  <c r="K24" i="131"/>
  <c r="K23" i="131" s="1"/>
  <c r="E26" i="131"/>
  <c r="I11" i="131" s="1"/>
  <c r="E5" i="131"/>
  <c r="F12" i="132" l="1"/>
  <c r="H9" i="132"/>
  <c r="E12" i="131"/>
  <c r="I37" i="131"/>
  <c r="I34" i="131"/>
  <c r="I36" i="131"/>
  <c r="E10" i="132"/>
  <c r="F4" i="134"/>
  <c r="F5" i="134" s="1"/>
  <c r="F10" i="132"/>
  <c r="G4" i="134"/>
  <c r="G5" i="134" s="1"/>
  <c r="D19" i="135"/>
  <c r="E19" i="135" s="1"/>
  <c r="F19" i="135" s="1"/>
  <c r="G19" i="135" s="1"/>
  <c r="H19" i="135" s="1"/>
  <c r="I19" i="135" s="1"/>
  <c r="D18" i="137"/>
  <c r="D21" i="135"/>
  <c r="E21" i="135" s="1"/>
  <c r="F21" i="135" s="1"/>
  <c r="D9" i="135"/>
  <c r="F4" i="135"/>
  <c r="G9" i="134" s="1"/>
  <c r="G11" i="135"/>
  <c r="F6" i="135"/>
  <c r="F9" i="134"/>
  <c r="E12" i="135" s="1"/>
  <c r="E8" i="134"/>
  <c r="E12" i="134"/>
  <c r="H3" i="132"/>
  <c r="I6" i="134" s="1"/>
  <c r="G8" i="132"/>
  <c r="H12" i="132"/>
  <c r="I9" i="132"/>
  <c r="I12" i="132" s="1"/>
  <c r="E37" i="131"/>
  <c r="E34" i="131"/>
  <c r="E28" i="131"/>
  <c r="I13" i="131" s="1"/>
  <c r="E29" i="131"/>
  <c r="E36" i="131"/>
  <c r="E13" i="131"/>
  <c r="C35" i="129"/>
  <c r="F17" i="129"/>
  <c r="D28" i="129" s="1"/>
  <c r="E28" i="129" s="1"/>
  <c r="E31" i="129" l="1"/>
  <c r="Q18" i="129"/>
  <c r="E30" i="131"/>
  <c r="I15" i="131" s="1"/>
  <c r="I14" i="131"/>
  <c r="G10" i="132"/>
  <c r="H4" i="134"/>
  <c r="H5" i="134" s="1"/>
  <c r="E10" i="135"/>
  <c r="E5" i="135" s="1"/>
  <c r="F10" i="134"/>
  <c r="F7" i="134"/>
  <c r="F8" i="134" s="1"/>
  <c r="F10" i="135"/>
  <c r="G10" i="134"/>
  <c r="G7" i="134"/>
  <c r="G8" i="134" s="1"/>
  <c r="L8" i="134" s="1"/>
  <c r="L7" i="134" s="1"/>
  <c r="E9" i="135"/>
  <c r="F9" i="135" s="1"/>
  <c r="G9" i="135" s="1"/>
  <c r="H9" i="135" s="1"/>
  <c r="I9" i="135" s="1"/>
  <c r="D2" i="137"/>
  <c r="F12" i="135"/>
  <c r="E13" i="135"/>
  <c r="H11" i="135"/>
  <c r="G6" i="135"/>
  <c r="G4" i="135"/>
  <c r="H9" i="134" s="1"/>
  <c r="G21" i="135"/>
  <c r="E19" i="134"/>
  <c r="E15" i="134"/>
  <c r="E16" i="134" s="1"/>
  <c r="D3" i="135" s="1"/>
  <c r="D7" i="135" s="1"/>
  <c r="E13" i="134"/>
  <c r="E14" i="134" s="1"/>
  <c r="I3" i="132"/>
  <c r="H8" i="132"/>
  <c r="D35" i="129"/>
  <c r="C36" i="129"/>
  <c r="G12" i="137" l="1"/>
  <c r="G14" i="137" s="1"/>
  <c r="D13" i="137" s="1"/>
  <c r="Q20" i="129"/>
  <c r="F12" i="134"/>
  <c r="F19" i="134" s="1"/>
  <c r="H10" i="134"/>
  <c r="G10" i="135"/>
  <c r="H7" i="134"/>
  <c r="H8" i="134" s="1"/>
  <c r="H10" i="132"/>
  <c r="I4" i="134"/>
  <c r="I5" i="134" s="1"/>
  <c r="I8" i="132"/>
  <c r="J4" i="134" s="1"/>
  <c r="J5" i="134" s="1"/>
  <c r="J6" i="134"/>
  <c r="G12" i="134"/>
  <c r="G13" i="134" s="1"/>
  <c r="F5" i="135"/>
  <c r="E15" i="135"/>
  <c r="E22" i="135" s="1"/>
  <c r="E18" i="135" s="1"/>
  <c r="D16" i="137"/>
  <c r="E2" i="137"/>
  <c r="H4" i="135"/>
  <c r="I9" i="134" s="1"/>
  <c r="I11" i="135"/>
  <c r="H6" i="135"/>
  <c r="H21" i="135"/>
  <c r="G12" i="135"/>
  <c r="F13" i="135"/>
  <c r="F15" i="135" s="1"/>
  <c r="F22" i="135" s="1"/>
  <c r="F15" i="134"/>
  <c r="F16" i="134" s="1"/>
  <c r="E3" i="135" s="1"/>
  <c r="E7" i="135" s="1"/>
  <c r="E3" i="137" s="1"/>
  <c r="F13" i="134"/>
  <c r="F14" i="134" s="1"/>
  <c r="E20" i="134"/>
  <c r="E21" i="134" s="1"/>
  <c r="D36" i="129"/>
  <c r="E35" i="129"/>
  <c r="L15" i="134" l="1"/>
  <c r="L16" i="134" s="1"/>
  <c r="G15" i="134"/>
  <c r="G16" i="134" s="1"/>
  <c r="F3" i="135" s="1"/>
  <c r="F7" i="135" s="1"/>
  <c r="F3" i="137" s="1"/>
  <c r="G19" i="134"/>
  <c r="G20" i="134" s="1"/>
  <c r="G21" i="134" s="1"/>
  <c r="E20" i="135"/>
  <c r="I10" i="135"/>
  <c r="J10" i="134"/>
  <c r="J7" i="134"/>
  <c r="J8" i="134" s="1"/>
  <c r="H10" i="135"/>
  <c r="I10" i="134"/>
  <c r="I7" i="134"/>
  <c r="I8" i="134" s="1"/>
  <c r="G5" i="135"/>
  <c r="I10" i="132"/>
  <c r="H12" i="134"/>
  <c r="F2" i="137"/>
  <c r="E6" i="137"/>
  <c r="E7" i="137" s="1"/>
  <c r="I4" i="135"/>
  <c r="J9" i="134" s="1"/>
  <c r="I6" i="135"/>
  <c r="F18" i="135"/>
  <c r="F20" i="135"/>
  <c r="H12" i="135"/>
  <c r="G13" i="135"/>
  <c r="G15" i="135" s="1"/>
  <c r="G22" i="135" s="1"/>
  <c r="I21" i="135"/>
  <c r="L14" i="134"/>
  <c r="G14" i="134"/>
  <c r="F20" i="134"/>
  <c r="F21" i="134" s="1"/>
  <c r="E36" i="129"/>
  <c r="F35" i="129"/>
  <c r="I12" i="134" l="1"/>
  <c r="I19" i="134" s="1"/>
  <c r="I20" i="134" s="1"/>
  <c r="I21" i="134" s="1"/>
  <c r="I5" i="135"/>
  <c r="J12" i="134"/>
  <c r="J13" i="134" s="1"/>
  <c r="J14" i="134" s="1"/>
  <c r="H5" i="135"/>
  <c r="I13" i="134"/>
  <c r="I14" i="134" s="1"/>
  <c r="H13" i="134"/>
  <c r="H14" i="134" s="1"/>
  <c r="H15" i="134"/>
  <c r="H16" i="134" s="1"/>
  <c r="G3" i="135" s="1"/>
  <c r="G7" i="135" s="1"/>
  <c r="G3" i="137" s="1"/>
  <c r="H19" i="134"/>
  <c r="I15" i="134"/>
  <c r="I16" i="134" s="1"/>
  <c r="H3" i="135" s="1"/>
  <c r="G2" i="137"/>
  <c r="F6" i="137"/>
  <c r="F7" i="137" s="1"/>
  <c r="G18" i="135"/>
  <c r="G20" i="135"/>
  <c r="I12" i="135"/>
  <c r="I13" i="135" s="1"/>
  <c r="I15" i="135" s="1"/>
  <c r="I22" i="135" s="1"/>
  <c r="I18" i="135" s="1"/>
  <c r="H13" i="135"/>
  <c r="H15" i="135" s="1"/>
  <c r="H22" i="135" s="1"/>
  <c r="F36" i="129"/>
  <c r="G35" i="129"/>
  <c r="J19" i="134" l="1"/>
  <c r="J20" i="134" s="1"/>
  <c r="J21" i="134" s="1"/>
  <c r="J15" i="134"/>
  <c r="J16" i="134" s="1"/>
  <c r="I3" i="135" s="1"/>
  <c r="I7" i="135" s="1"/>
  <c r="I3" i="137" s="1"/>
  <c r="I5" i="137" s="1"/>
  <c r="H7" i="135"/>
  <c r="H3" i="137" s="1"/>
  <c r="H20" i="134"/>
  <c r="H21" i="134" s="1"/>
  <c r="H2" i="137"/>
  <c r="G6" i="137"/>
  <c r="G7" i="137" s="1"/>
  <c r="H18" i="135"/>
  <c r="H20" i="135"/>
  <c r="I20" i="135"/>
  <c r="H35" i="129"/>
  <c r="H36" i="129" s="1"/>
  <c r="G36" i="129"/>
  <c r="I2" i="137" l="1"/>
  <c r="I6" i="137" s="1"/>
  <c r="H6" i="137"/>
  <c r="H7" i="137" s="1"/>
  <c r="I7" i="137" l="1"/>
  <c r="D9" i="137" s="1"/>
  <c r="D10" i="137"/>
  <c r="D11" i="137" l="1"/>
  <c r="D17" i="137" s="1"/>
  <c r="D19" i="137" l="1"/>
  <c r="D24" i="137" l="1"/>
  <c r="D21" i="137"/>
  <c r="P19" i="91" l="1"/>
  <c r="P18" i="91"/>
  <c r="X13" i="91"/>
  <c r="X12" i="91"/>
  <c r="X11" i="91"/>
  <c r="X10" i="91"/>
  <c r="X8" i="91"/>
  <c r="X6" i="91"/>
  <c r="X7" i="91"/>
  <c r="X5" i="91"/>
  <c r="R12" i="91"/>
  <c r="R13" i="91"/>
  <c r="R11" i="91"/>
  <c r="S9" i="91"/>
  <c r="S8" i="91"/>
  <c r="S7" i="91"/>
  <c r="S6" i="91"/>
  <c r="S5" i="91"/>
  <c r="R8" i="91"/>
  <c r="Q8" i="91"/>
  <c r="P8" i="91"/>
  <c r="R6" i="91"/>
  <c r="Q6" i="91"/>
  <c r="P6" i="91"/>
  <c r="R5" i="91"/>
  <c r="Q5" i="91"/>
  <c r="P5" i="91"/>
  <c r="O9" i="91"/>
  <c r="O7" i="91"/>
  <c r="O8" i="91"/>
  <c r="O6" i="91"/>
  <c r="O5" i="91"/>
  <c r="D23" i="96"/>
  <c r="I14" i="96"/>
  <c r="D14" i="96"/>
  <c r="I13" i="96"/>
  <c r="K11" i="95"/>
  <c r="D13" i="95"/>
  <c r="E11" i="95"/>
  <c r="E4" i="95" s="1"/>
  <c r="D9" i="95"/>
  <c r="D16" i="95" s="1"/>
  <c r="E16" i="95" s="1"/>
  <c r="F16" i="95" s="1"/>
  <c r="G16" i="95" s="1"/>
  <c r="H16" i="95" s="1"/>
  <c r="I16" i="95" s="1"/>
  <c r="E18" i="94"/>
  <c r="F11" i="94"/>
  <c r="G11" i="94" s="1"/>
  <c r="H11" i="94" s="1"/>
  <c r="I11" i="94" s="1"/>
  <c r="J11" i="94" s="1"/>
  <c r="E6" i="94"/>
  <c r="L18" i="93"/>
  <c r="I19" i="93"/>
  <c r="H19" i="93"/>
  <c r="G19" i="93"/>
  <c r="F19" i="93"/>
  <c r="E19" i="93"/>
  <c r="D19" i="93"/>
  <c r="D18" i="93"/>
  <c r="E18" i="93" s="1"/>
  <c r="F18" i="93" s="1"/>
  <c r="G18" i="93" s="1"/>
  <c r="H18" i="93" s="1"/>
  <c r="I18" i="93" s="1"/>
  <c r="E15" i="93"/>
  <c r="F15" i="93" s="1"/>
  <c r="G15" i="93" s="1"/>
  <c r="H15" i="93" s="1"/>
  <c r="I15" i="93" s="1"/>
  <c r="G13" i="93"/>
  <c r="H13" i="93" s="1"/>
  <c r="I13" i="93" s="1"/>
  <c r="E13" i="93"/>
  <c r="D12" i="93"/>
  <c r="E9" i="93"/>
  <c r="E12" i="93" s="1"/>
  <c r="D8" i="93"/>
  <c r="E4" i="94" s="1"/>
  <c r="E5" i="94" s="1"/>
  <c r="G5" i="93"/>
  <c r="H5" i="93" s="1"/>
  <c r="I5" i="93" s="1"/>
  <c r="E3" i="93"/>
  <c r="E8" i="93" s="1"/>
  <c r="F4" i="94" s="1"/>
  <c r="F5" i="94" l="1"/>
  <c r="E10" i="95" s="1"/>
  <c r="L4" i="94"/>
  <c r="E10" i="94"/>
  <c r="D10" i="95"/>
  <c r="D14" i="95" s="1"/>
  <c r="D21" i="95" s="1"/>
  <c r="F6" i="94"/>
  <c r="D4" i="95"/>
  <c r="D2" i="96"/>
  <c r="F2" i="96"/>
  <c r="G2" i="96" s="1"/>
  <c r="H2" i="96" s="1"/>
  <c r="I2" i="96" s="1"/>
  <c r="E5" i="95"/>
  <c r="D20" i="95"/>
  <c r="E20" i="95" s="1"/>
  <c r="D17" i="95"/>
  <c r="E6" i="95"/>
  <c r="E9" i="95"/>
  <c r="F9" i="95" s="1"/>
  <c r="G9" i="95" s="1"/>
  <c r="H9" i="95" s="1"/>
  <c r="I9" i="95" s="1"/>
  <c r="F11" i="95"/>
  <c r="F7" i="94"/>
  <c r="F10" i="94"/>
  <c r="E7" i="94"/>
  <c r="E10" i="93"/>
  <c r="F9" i="93"/>
  <c r="F3" i="93"/>
  <c r="G6" i="94" s="1"/>
  <c r="D18" i="95" l="1"/>
  <c r="E18" i="95" s="1"/>
  <c r="F18" i="95" s="1"/>
  <c r="G18" i="95" s="1"/>
  <c r="H18" i="95" s="1"/>
  <c r="I18" i="95" s="1"/>
  <c r="D18" i="96"/>
  <c r="F20" i="95"/>
  <c r="G11" i="95"/>
  <c r="F6" i="95"/>
  <c r="F4" i="95"/>
  <c r="E8" i="94"/>
  <c r="F8" i="94"/>
  <c r="F8" i="93"/>
  <c r="G3" i="93"/>
  <c r="H6" i="94" s="1"/>
  <c r="G9" i="93"/>
  <c r="F12" i="93"/>
  <c r="F10" i="93" l="1"/>
  <c r="G4" i="94"/>
  <c r="H11" i="95"/>
  <c r="G6" i="95"/>
  <c r="G4" i="95"/>
  <c r="G20" i="95"/>
  <c r="H9" i="93"/>
  <c r="G12" i="93"/>
  <c r="G8" i="93"/>
  <c r="H3" i="93"/>
  <c r="I6" i="94" s="1"/>
  <c r="G10" i="93" l="1"/>
  <c r="H4" i="94"/>
  <c r="G5" i="94"/>
  <c r="M4" i="94"/>
  <c r="H20" i="95"/>
  <c r="H4" i="95"/>
  <c r="I11" i="95"/>
  <c r="H6" i="95"/>
  <c r="H8" i="93"/>
  <c r="I3" i="93"/>
  <c r="H12" i="93"/>
  <c r="I9" i="93"/>
  <c r="I12" i="93" s="1"/>
  <c r="I8" i="93" l="1"/>
  <c r="J6" i="94"/>
  <c r="H10" i="93"/>
  <c r="I4" i="94"/>
  <c r="F10" i="95"/>
  <c r="F5" i="95" s="1"/>
  <c r="G7" i="94"/>
  <c r="G8" i="94" s="1"/>
  <c r="G10" i="94"/>
  <c r="H5" i="94"/>
  <c r="N4" i="94"/>
  <c r="I20" i="95"/>
  <c r="I4" i="95"/>
  <c r="I6" i="95"/>
  <c r="H10" i="94" l="1"/>
  <c r="G10" i="95"/>
  <c r="G5" i="95" s="1"/>
  <c r="H7" i="94"/>
  <c r="H8" i="94" s="1"/>
  <c r="I5" i="94"/>
  <c r="O4" i="94"/>
  <c r="I10" i="93"/>
  <c r="J4" i="94"/>
  <c r="E9" i="94"/>
  <c r="E12" i="94" s="1"/>
  <c r="D33" i="91"/>
  <c r="E33" i="91" s="1"/>
  <c r="F33" i="91" s="1"/>
  <c r="G33" i="91" s="1"/>
  <c r="H33" i="91" s="1"/>
  <c r="J21" i="91"/>
  <c r="D29" i="91" s="1"/>
  <c r="J10" i="91"/>
  <c r="D9" i="91"/>
  <c r="F9" i="91" s="1"/>
  <c r="G9" i="91" s="1"/>
  <c r="C8" i="91"/>
  <c r="C11" i="91" s="1"/>
  <c r="C34" i="91" s="1"/>
  <c r="F7" i="91"/>
  <c r="G7" i="91" s="1"/>
  <c r="F6" i="91"/>
  <c r="G6" i="91" s="1"/>
  <c r="G8" i="91" s="1"/>
  <c r="G11" i="91" s="1"/>
  <c r="F13" i="91" s="1"/>
  <c r="J5" i="94" l="1"/>
  <c r="P4" i="94"/>
  <c r="I10" i="94"/>
  <c r="H10" i="95"/>
  <c r="H5" i="95" s="1"/>
  <c r="I7" i="94"/>
  <c r="I8" i="94" s="1"/>
  <c r="E19" i="94"/>
  <c r="E15" i="94"/>
  <c r="E16" i="94" s="1"/>
  <c r="D3" i="95" s="1"/>
  <c r="D7" i="95" s="1"/>
  <c r="E13" i="94"/>
  <c r="E14" i="94" s="1"/>
  <c r="C35" i="91"/>
  <c r="F17" i="91"/>
  <c r="D28" i="91" s="1"/>
  <c r="I10" i="95" l="1"/>
  <c r="I5" i="95" s="1"/>
  <c r="J7" i="94"/>
  <c r="J8" i="94" s="1"/>
  <c r="J10" i="94"/>
  <c r="E20" i="94"/>
  <c r="E21" i="94" s="1"/>
  <c r="C36" i="91"/>
  <c r="D35" i="91"/>
  <c r="F9" i="94" l="1"/>
  <c r="E35" i="91"/>
  <c r="F12" i="94" l="1"/>
  <c r="F15" i="94" s="1"/>
  <c r="F16" i="94" s="1"/>
  <c r="E3" i="95" s="1"/>
  <c r="E7" i="95" s="1"/>
  <c r="E3" i="96" s="1"/>
  <c r="E12" i="95"/>
  <c r="G9" i="94"/>
  <c r="G12" i="94" s="1"/>
  <c r="F13" i="94"/>
  <c r="F14" i="94" s="1"/>
  <c r="F35" i="91"/>
  <c r="B11" i="37"/>
  <c r="B12" i="37" s="1"/>
  <c r="D8" i="37"/>
  <c r="C7" i="37"/>
  <c r="F12" i="95" l="1"/>
  <c r="E13" i="95"/>
  <c r="E14" i="95" s="1"/>
  <c r="E21" i="95" s="1"/>
  <c r="G15" i="94"/>
  <c r="G16" i="94" s="1"/>
  <c r="F3" i="95" s="1"/>
  <c r="F7" i="95" s="1"/>
  <c r="F3" i="96" s="1"/>
  <c r="G13" i="94"/>
  <c r="G14" i="94" s="1"/>
  <c r="H9" i="94"/>
  <c r="H12" i="94" s="1"/>
  <c r="J9" i="94"/>
  <c r="J12" i="94" s="1"/>
  <c r="G35" i="91"/>
  <c r="B5" i="37"/>
  <c r="D9" i="37"/>
  <c r="C8" i="37"/>
  <c r="E17" i="95" l="1"/>
  <c r="E19" i="95"/>
  <c r="G12" i="95"/>
  <c r="F13" i="95"/>
  <c r="F14" i="95" s="1"/>
  <c r="F21" i="95" s="1"/>
  <c r="I9" i="94"/>
  <c r="I12" i="94" s="1"/>
  <c r="H15" i="94"/>
  <c r="H13" i="94"/>
  <c r="H14" i="94" s="1"/>
  <c r="H16" i="94"/>
  <c r="G3" i="95" s="1"/>
  <c r="G7" i="95" s="1"/>
  <c r="G3" i="96" s="1"/>
  <c r="J15" i="94"/>
  <c r="J16" i="94" s="1"/>
  <c r="I3" i="95" s="1"/>
  <c r="I7" i="95" s="1"/>
  <c r="I3" i="96" s="1"/>
  <c r="J13" i="94"/>
  <c r="J14" i="94" s="1"/>
  <c r="H35" i="91"/>
  <c r="C28" i="91"/>
  <c r="O18" i="91" s="1"/>
  <c r="B15" i="37"/>
  <c r="B8" i="37"/>
  <c r="B14" i="37"/>
  <c r="C9" i="37"/>
  <c r="D10" i="37"/>
  <c r="H12" i="95" l="1"/>
  <c r="G13" i="95"/>
  <c r="G14" i="95" s="1"/>
  <c r="G21" i="95" s="1"/>
  <c r="F17" i="95"/>
  <c r="F19" i="95"/>
  <c r="I15" i="94"/>
  <c r="I16" i="94" s="1"/>
  <c r="H3" i="95" s="1"/>
  <c r="H7" i="95" s="1"/>
  <c r="H3" i="96" s="1"/>
  <c r="I13" i="94"/>
  <c r="I14" i="94" s="1"/>
  <c r="D34" i="91"/>
  <c r="D36" i="91" s="1"/>
  <c r="F18" i="94" s="1"/>
  <c r="F19" i="94" s="1"/>
  <c r="C29" i="91"/>
  <c r="E28" i="91"/>
  <c r="Q18" i="91" s="1"/>
  <c r="C10" i="37"/>
  <c r="D11" i="37"/>
  <c r="B9" i="37"/>
  <c r="E29" i="91" l="1"/>
  <c r="Q19" i="91" s="1"/>
  <c r="O19" i="91"/>
  <c r="G17" i="95"/>
  <c r="G19" i="95"/>
  <c r="I12" i="95"/>
  <c r="I13" i="95" s="1"/>
  <c r="I14" i="95" s="1"/>
  <c r="I21" i="95" s="1"/>
  <c r="H13" i="95"/>
  <c r="H14" i="95" s="1"/>
  <c r="H21" i="95" s="1"/>
  <c r="E31" i="91"/>
  <c r="F20" i="94"/>
  <c r="F21" i="94" s="1"/>
  <c r="E34" i="91"/>
  <c r="E36" i="91" s="1"/>
  <c r="G18" i="94" s="1"/>
  <c r="G19" i="94" s="1"/>
  <c r="B16" i="37"/>
  <c r="D12" i="37"/>
  <c r="C11" i="37"/>
  <c r="G12" i="96" l="1"/>
  <c r="G14" i="96" s="1"/>
  <c r="D13" i="96" s="1"/>
  <c r="H6" i="96" s="1"/>
  <c r="H7" i="96" s="1"/>
  <c r="Q20" i="91"/>
  <c r="I5" i="96"/>
  <c r="I6" i="96"/>
  <c r="I7" i="96" s="1"/>
  <c r="E6" i="96"/>
  <c r="E7" i="96" s="1"/>
  <c r="G6" i="96"/>
  <c r="G7" i="96" s="1"/>
  <c r="F6" i="96"/>
  <c r="F7" i="96" s="1"/>
  <c r="H17" i="95"/>
  <c r="H19" i="95"/>
  <c r="I17" i="95"/>
  <c r="I19" i="95"/>
  <c r="G20" i="94"/>
  <c r="G21" i="94" s="1"/>
  <c r="F34" i="91"/>
  <c r="F36" i="91" s="1"/>
  <c r="H18" i="94" s="1"/>
  <c r="H19" i="94" s="1"/>
  <c r="C12" i="37"/>
  <c r="D13" i="37"/>
  <c r="B6" i="37"/>
  <c r="D9" i="96" l="1"/>
  <c r="D10" i="96"/>
  <c r="H20" i="94"/>
  <c r="H21" i="94" s="1"/>
  <c r="G34" i="91"/>
  <c r="G36" i="91" s="1"/>
  <c r="I18" i="94" s="1"/>
  <c r="I19" i="94" s="1"/>
  <c r="D14" i="37"/>
  <c r="C13" i="37"/>
  <c r="D11" i="96" l="1"/>
  <c r="I20" i="94"/>
  <c r="I21" i="94" s="1"/>
  <c r="H34" i="91"/>
  <c r="H36" i="91" s="1"/>
  <c r="J18" i="94" s="1"/>
  <c r="J19" i="94" s="1"/>
  <c r="D15" i="37"/>
  <c r="C14" i="37"/>
  <c r="D17" i="96" l="1"/>
  <c r="L13" i="94"/>
  <c r="D19" i="96"/>
  <c r="J20" i="94"/>
  <c r="J21" i="94" s="1"/>
  <c r="D16" i="37"/>
  <c r="C15" i="37"/>
  <c r="D24" i="96" l="1"/>
  <c r="D21" i="96"/>
  <c r="D28" i="137" s="1"/>
  <c r="C16" i="37"/>
  <c r="D17" i="37"/>
  <c r="D18" i="37" l="1"/>
  <c r="C17" i="37"/>
  <c r="D19" i="37" l="1"/>
  <c r="C18" i="37"/>
  <c r="D20" i="37" l="1"/>
  <c r="C19" i="37"/>
  <c r="D21" i="37" l="1"/>
  <c r="C20" i="37"/>
  <c r="B18" i="37" l="1"/>
  <c r="B19" i="37"/>
  <c r="C21" i="37"/>
  <c r="D22" i="37"/>
  <c r="D23" i="37" l="1"/>
  <c r="C23" i="37" s="1"/>
  <c r="C22" i="37"/>
  <c r="B20" i="37"/>
  <c r="O14" i="226" l="1"/>
  <c r="G19" i="226" s="1"/>
  <c r="G20" i="226" s="1"/>
  <c r="G21" i="226" s="1"/>
  <c r="E50" i="246" l="1"/>
  <c r="F49" i="246"/>
  <c r="E51" i="246" l="1"/>
  <c r="F51" i="246" s="1"/>
  <c r="E94" i="246"/>
  <c r="E95" i="246" s="1"/>
  <c r="F50" i="246"/>
  <c r="E73" i="246"/>
  <c r="E26" i="246" l="1"/>
  <c r="E29" i="246" s="1"/>
  <c r="E97" i="246"/>
  <c r="R95" i="246"/>
  <c r="E75" i="246"/>
  <c r="E74" i="246" s="1"/>
  <c r="E107" i="246" s="1"/>
  <c r="Q62" i="246"/>
  <c r="E86" i="246"/>
  <c r="E88" i="246" s="1"/>
  <c r="P95" i="246" s="1"/>
  <c r="E79" i="246"/>
  <c r="S62" i="246" s="1"/>
  <c r="E80" i="246"/>
  <c r="F26" i="246"/>
  <c r="E70" i="246"/>
  <c r="E35" i="246"/>
  <c r="F35" i="246" s="1"/>
  <c r="F29" i="246"/>
  <c r="H49" i="246"/>
  <c r="G50" i="246"/>
  <c r="E72" i="246" l="1"/>
  <c r="E101" i="246" s="1"/>
  <c r="E117" i="246"/>
  <c r="E89" i="246" s="1"/>
  <c r="Q95" i="246" s="1"/>
  <c r="H50" i="246"/>
  <c r="G94" i="246"/>
  <c r="G95" i="246" s="1"/>
  <c r="E77" i="246"/>
  <c r="E78" i="246"/>
  <c r="R62" i="246" s="1"/>
  <c r="G51" i="246"/>
  <c r="G26" i="246" s="1"/>
  <c r="G70" i="246" s="1"/>
  <c r="G73" i="246"/>
  <c r="E90" i="246" l="1"/>
  <c r="H51" i="246"/>
  <c r="G97" i="246"/>
  <c r="R96" i="246"/>
  <c r="G75" i="246"/>
  <c r="G74" i="246" s="1"/>
  <c r="G107" i="246" s="1"/>
  <c r="Q63" i="246"/>
  <c r="G77" i="246"/>
  <c r="G78" i="246"/>
  <c r="R63" i="246" s="1"/>
  <c r="G72" i="246"/>
  <c r="G101" i="246" s="1"/>
  <c r="G86" i="246"/>
  <c r="G88" i="246" s="1"/>
  <c r="P96" i="246" s="1"/>
  <c r="G29" i="246"/>
  <c r="H26" i="246"/>
  <c r="G117" i="246" l="1"/>
  <c r="G89" i="246" s="1"/>
  <c r="Q96" i="246" s="1"/>
  <c r="G90" i="246"/>
  <c r="G80" i="246"/>
  <c r="G79" i="246"/>
  <c r="S63" i="246" s="1"/>
  <c r="G35" i="246"/>
  <c r="H35" i="246" s="1"/>
  <c r="H29" i="246"/>
  <c r="L49" i="246"/>
  <c r="J49" i="246"/>
  <c r="I50" i="246"/>
  <c r="K50" i="246"/>
  <c r="K94" i="246" s="1"/>
  <c r="K95" i="246" s="1"/>
  <c r="K97" i="246" l="1"/>
  <c r="R98" i="246"/>
  <c r="I73" i="246"/>
  <c r="I94" i="246"/>
  <c r="I95" i="246" s="1"/>
  <c r="I75" i="246"/>
  <c r="Q64" i="246"/>
  <c r="K51" i="246"/>
  <c r="K73" i="246"/>
  <c r="I74" i="246"/>
  <c r="I107" i="246" s="1"/>
  <c r="I72" i="246"/>
  <c r="I101" i="246" s="1"/>
  <c r="I86" i="246"/>
  <c r="I88" i="246" s="1"/>
  <c r="P97" i="246" s="1"/>
  <c r="L50" i="246"/>
  <c r="I51" i="246"/>
  <c r="J50" i="246"/>
  <c r="K26" i="246"/>
  <c r="I117" i="246" l="1"/>
  <c r="I89" i="246" s="1"/>
  <c r="Q97" i="246" s="1"/>
  <c r="I97" i="246"/>
  <c r="R97" i="246"/>
  <c r="K75" i="246"/>
  <c r="K86" i="246" s="1"/>
  <c r="K88" i="246" s="1"/>
  <c r="P98" i="246" s="1"/>
  <c r="Q65" i="246"/>
  <c r="I90" i="246"/>
  <c r="K29" i="246"/>
  <c r="K70" i="246"/>
  <c r="K74" i="246"/>
  <c r="K107" i="246" s="1"/>
  <c r="K72" i="246"/>
  <c r="K101" i="246" s="1"/>
  <c r="J51" i="246"/>
  <c r="I26" i="246"/>
  <c r="I70" i="246" s="1"/>
  <c r="L51" i="246"/>
  <c r="K35" i="246"/>
  <c r="K117" i="246" l="1"/>
  <c r="K89" i="246" s="1"/>
  <c r="K90" i="246"/>
  <c r="Q98" i="246"/>
  <c r="I78" i="246"/>
  <c r="R64" i="246" s="1"/>
  <c r="I77" i="246"/>
  <c r="K77" i="246"/>
  <c r="K78" i="246"/>
  <c r="R65" i="246" s="1"/>
  <c r="K79" i="246"/>
  <c r="S65" i="246" s="1"/>
  <c r="K80" i="246"/>
  <c r="J26" i="246"/>
  <c r="I29" i="246"/>
  <c r="I80" i="246" l="1"/>
  <c r="I79" i="246"/>
  <c r="S64" i="246" s="1"/>
  <c r="L29" i="246"/>
  <c r="J29" i="246"/>
  <c r="I35" i="246"/>
  <c r="J35" i="246" l="1"/>
  <c r="L35" i="246"/>
  <c r="F65" i="248" l="1"/>
  <c r="F25" i="248"/>
  <c r="F28" i="248" s="1"/>
  <c r="F23" i="248" s="1"/>
  <c r="F37" i="248" s="1"/>
  <c r="G25" i="248"/>
  <c r="G61" i="248" s="1"/>
  <c r="G65" i="248" s="1"/>
  <c r="F36" i="248" l="1"/>
  <c r="F33" i="248"/>
  <c r="G28" i="248"/>
  <c r="G23" i="248" s="1"/>
  <c r="O8" i="248"/>
  <c r="F60" i="248"/>
  <c r="H25" i="248"/>
  <c r="G40" i="248"/>
  <c r="G45" i="248"/>
  <c r="G41" i="248" l="1"/>
  <c r="H40" i="248"/>
  <c r="H41" i="248" s="1"/>
  <c r="H53" i="248" s="1"/>
  <c r="H6" i="248"/>
  <c r="G7" i="248"/>
  <c r="G34" i="248"/>
  <c r="H61" i="248"/>
  <c r="H45" i="248"/>
  <c r="H28" i="248"/>
  <c r="H23" i="248" s="1"/>
  <c r="F81" i="248"/>
  <c r="F67" i="248"/>
  <c r="F78" i="248"/>
  <c r="F14" i="248" s="1"/>
  <c r="F16" i="248" s="1"/>
  <c r="H37" i="248" l="1"/>
  <c r="G37" i="248"/>
  <c r="G36" i="248" s="1"/>
  <c r="G68" i="248" s="1"/>
  <c r="G54" i="248" s="1"/>
  <c r="G53" i="248"/>
  <c r="F17" i="248"/>
  <c r="F18" i="248" s="1"/>
  <c r="F79" i="248"/>
  <c r="G78" i="248"/>
  <c r="G14" i="248" s="1"/>
  <c r="G47" i="248"/>
  <c r="G49" i="248" s="1"/>
  <c r="G60" i="248"/>
  <c r="G10" i="248"/>
  <c r="G8" i="248"/>
  <c r="H34" i="248"/>
  <c r="H62" i="248"/>
  <c r="H65" i="248" s="1"/>
  <c r="H7" i="248"/>
  <c r="H33" i="248"/>
  <c r="H69" i="248"/>
  <c r="G69" i="248"/>
  <c r="G67" i="248" s="1"/>
  <c r="G33" i="248"/>
  <c r="G79" i="248" l="1"/>
  <c r="G72" i="248"/>
  <c r="F74" i="248"/>
  <c r="F19" i="248"/>
  <c r="H47" i="248"/>
  <c r="H49" i="248" s="1"/>
  <c r="H60" i="248"/>
  <c r="G12" i="248"/>
  <c r="G16" i="248"/>
  <c r="G11" i="248"/>
  <c r="H36" i="248"/>
  <c r="H68" i="248" s="1"/>
  <c r="H54" i="248" s="1"/>
  <c r="H8" i="248"/>
  <c r="H10" i="248"/>
  <c r="H12" i="248" l="1"/>
  <c r="H13" i="248" s="1"/>
  <c r="H11" i="248"/>
  <c r="H78" i="248"/>
  <c r="H14" i="248" s="1"/>
  <c r="H16" i="248" s="1"/>
  <c r="H67" i="248"/>
  <c r="H81" i="248"/>
  <c r="G17" i="248"/>
  <c r="G18" i="248" s="1"/>
  <c r="G13" i="248"/>
  <c r="G81" i="248"/>
  <c r="H79" i="248" l="1"/>
  <c r="H72" i="248"/>
  <c r="H17" i="248"/>
  <c r="H18" i="248" s="1"/>
  <c r="G74" i="248"/>
  <c r="G19" i="248"/>
  <c r="H74" i="248" l="1"/>
  <c r="H19" i="248"/>
  <c r="E28" i="248"/>
  <c r="E23" i="248" s="1"/>
  <c r="E37" i="248" s="1"/>
  <c r="E65" i="248"/>
  <c r="E45" i="248"/>
  <c r="E49" i="248" s="1"/>
  <c r="E60" i="248"/>
  <c r="E33" i="248" l="1"/>
  <c r="E36" i="248"/>
  <c r="E68" i="248" s="1"/>
  <c r="F45" i="248"/>
  <c r="F49" i="248" s="1"/>
  <c r="E78" i="248" l="1"/>
  <c r="E14" i="248" s="1"/>
  <c r="E16" i="248" s="1"/>
  <c r="E81" i="248"/>
  <c r="E67" i="248"/>
  <c r="E79" i="248" l="1"/>
  <c r="E17" i="248"/>
  <c r="E18" i="248" s="1"/>
  <c r="E74" i="248" l="1"/>
  <c r="E19" i="248"/>
</calcChain>
</file>

<file path=xl/sharedStrings.xml><?xml version="1.0" encoding="utf-8"?>
<sst xmlns="http://schemas.openxmlformats.org/spreadsheetml/2006/main" count="1465" uniqueCount="661">
  <si>
    <t>Caso Droganet</t>
  </si>
  <si>
    <t>R$ Milhões</t>
  </si>
  <si>
    <t>Capital Alocado</t>
  </si>
  <si>
    <t>Premissas</t>
  </si>
  <si>
    <t>Análise da Geração de Valor</t>
  </si>
  <si>
    <t>Clientes</t>
  </si>
  <si>
    <t>ROIC</t>
  </si>
  <si>
    <t>WACC</t>
  </si>
  <si>
    <t>Capital de Giro Liquido</t>
  </si>
  <si>
    <t>NOPAT</t>
  </si>
  <si>
    <t>Custo de Capital</t>
  </si>
  <si>
    <t>Ativo Não Circulante</t>
  </si>
  <si>
    <t>Total Ativos Operacionais</t>
  </si>
  <si>
    <t>Resultado Operacional LÍquido (NOPAT)</t>
  </si>
  <si>
    <t>lojas x R$ 150 mil x 12 meses</t>
  </si>
  <si>
    <t>Lucro Bruto</t>
  </si>
  <si>
    <t>margem bruta</t>
  </si>
  <si>
    <t>R$ 600 mil x 12 meses</t>
  </si>
  <si>
    <t>aliquota lucro real</t>
  </si>
  <si>
    <t>-</t>
  </si>
  <si>
    <t>ELEKTRA - CIA DE ENERGIA ELÉTRICA</t>
  </si>
  <si>
    <t>PL/(D+PL) ==&gt;</t>
  </si>
  <si>
    <t>Valores em R$ milhões</t>
  </si>
  <si>
    <t>Receita Líquida</t>
  </si>
  <si>
    <t>Despesas Financeiras</t>
  </si>
  <si>
    <t>LAIR</t>
  </si>
  <si>
    <t>Lucro Liquido</t>
  </si>
  <si>
    <t>Ativo Total</t>
  </si>
  <si>
    <t>Capital de Giro</t>
  </si>
  <si>
    <t>Imobilizado</t>
  </si>
  <si>
    <t>Patrimonio Liquido</t>
  </si>
  <si>
    <t>% PL</t>
  </si>
  <si>
    <t>Dívida</t>
  </si>
  <si>
    <t>% Dívida</t>
  </si>
  <si>
    <t>Fatores</t>
  </si>
  <si>
    <t>Custo da Dívida:</t>
  </si>
  <si>
    <t>Taxa da Dívida</t>
  </si>
  <si>
    <t>Alíquota IR</t>
  </si>
  <si>
    <t>Ponderação na Estrutura de Capitais</t>
  </si>
  <si>
    <t>Beta sem alavancagem</t>
  </si>
  <si>
    <t>Beta Ajustado para D/CP</t>
  </si>
  <si>
    <t>Taxa Livre de Risco (EUA)</t>
  </si>
  <si>
    <t>Prêmio pelo Risco de Mercado (EUA)</t>
  </si>
  <si>
    <t>Taxa do Capital Próprio (CAPM)</t>
  </si>
  <si>
    <t>Prêmio pelo Risco Brasil</t>
  </si>
  <si>
    <t>Taxa do Capital Próprio Ajustada</t>
  </si>
  <si>
    <t>Custo Médio Ponderado:</t>
  </si>
  <si>
    <t>Depreciação</t>
  </si>
  <si>
    <t>Investimentos</t>
  </si>
  <si>
    <t>Fluxo Operacional de Caixa</t>
  </si>
  <si>
    <t>Resultado Financeiro</t>
  </si>
  <si>
    <t>Fator de Desconto</t>
  </si>
  <si>
    <t>Valor</t>
  </si>
  <si>
    <t>Total</t>
  </si>
  <si>
    <t>Valor Econômico da Empresa</t>
  </si>
  <si>
    <t>Valor da Empresa para Acionistas</t>
  </si>
  <si>
    <t>(entrada de dados)</t>
  </si>
  <si>
    <t>SIMULAÇÃO - PREENCHER DE 100% A 20% COM INTERVALOS DE 5%</t>
  </si>
  <si>
    <t>Simulação das principais variáveis de acordo com nivel de endividamento</t>
  </si>
  <si>
    <t>Lucro</t>
  </si>
  <si>
    <t>Divida</t>
  </si>
  <si>
    <t>Ke</t>
  </si>
  <si>
    <t>EV</t>
  </si>
  <si>
    <t>Mkt Cap</t>
  </si>
  <si>
    <t>P/VPA</t>
  </si>
  <si>
    <t>Lucro Liquido (ano 1)</t>
  </si>
  <si>
    <t>Patrimônio Líquido (ano1)</t>
  </si>
  <si>
    <t>Dívida (ano 1)</t>
  </si>
  <si>
    <t>Patrimônio Liquido / Ativo Total</t>
  </si>
  <si>
    <t>Dívida / Ativo Total</t>
  </si>
  <si>
    <t>Custo da Dívida (liq. IR)</t>
  </si>
  <si>
    <t>Custo do Capital Próprio</t>
  </si>
  <si>
    <t>Valor Acionistas / Pat. Liquido</t>
  </si>
  <si>
    <t>Demonstrativo de Resultado</t>
  </si>
  <si>
    <t>Perguntas:</t>
  </si>
  <si>
    <t xml:space="preserve">Receita Líquida </t>
  </si>
  <si>
    <t>Custo dos Produtos Vendidos</t>
  </si>
  <si>
    <t>Margem Bruta</t>
  </si>
  <si>
    <t>Despesas SG&amp;A</t>
  </si>
  <si>
    <t>Outras Rec/Desp Operacionais</t>
  </si>
  <si>
    <t>Resultado Operacional (EBIT)</t>
  </si>
  <si>
    <t>Margem Operacional</t>
  </si>
  <si>
    <t>Resultado financeiro</t>
  </si>
  <si>
    <t>IR + CS (34%)</t>
  </si>
  <si>
    <t>Margem Liquida</t>
  </si>
  <si>
    <t>Depreciação e amortização</t>
  </si>
  <si>
    <t>Ebitda (Lajida)</t>
  </si>
  <si>
    <t>Margem Ebitda</t>
  </si>
  <si>
    <t>Lucro Líquido</t>
  </si>
  <si>
    <t>Ativo Circulante</t>
  </si>
  <si>
    <t>Caixa e Aplicações</t>
  </si>
  <si>
    <t>Contas a receber CP</t>
  </si>
  <si>
    <t>Estoques</t>
  </si>
  <si>
    <t>Outras contas a receber</t>
  </si>
  <si>
    <t>Passivo Circulante</t>
  </si>
  <si>
    <t>Fornecedores CP</t>
  </si>
  <si>
    <t>Impostos e Obrigações</t>
  </si>
  <si>
    <t>Financiamento CP</t>
  </si>
  <si>
    <t>Debêntures CP</t>
  </si>
  <si>
    <t>Financiamento LP</t>
  </si>
  <si>
    <t>Debêntures LP</t>
  </si>
  <si>
    <t>Passivo Não Circulante</t>
  </si>
  <si>
    <t>Patrimônio Líquido</t>
  </si>
  <si>
    <t>Provisões LP</t>
  </si>
  <si>
    <t>Patrimônio líquido</t>
  </si>
  <si>
    <t>Capital</t>
  </si>
  <si>
    <t>Reservas de capital</t>
  </si>
  <si>
    <t>Estrutura de Capitais</t>
  </si>
  <si>
    <t>Dívida Líquida</t>
  </si>
  <si>
    <t>Prazo de Clientes</t>
  </si>
  <si>
    <t>Capital dos Acionistas</t>
  </si>
  <si>
    <t>Res. Oper. Após IR (NOPAT)</t>
  </si>
  <si>
    <t>Prazo de Estoques</t>
  </si>
  <si>
    <t>Margem Nopat</t>
  </si>
  <si>
    <t>Dívida Líquida / Ebitda</t>
  </si>
  <si>
    <t>Dividendos</t>
  </si>
  <si>
    <t>Reservas</t>
  </si>
  <si>
    <t>1. Aumento de vendas com variação:</t>
  </si>
  <si>
    <t>ciclo de clientes</t>
  </si>
  <si>
    <t>Novo ROIC =</t>
  </si>
  <si>
    <t>Faturamento Liquido</t>
  </si>
  <si>
    <t>ciclo de estoques</t>
  </si>
  <si>
    <t>Ebitda =</t>
  </si>
  <si>
    <t>CPV</t>
  </si>
  <si>
    <t>ciclo de fornecedores</t>
  </si>
  <si>
    <t>Lucro Liq =</t>
  </si>
  <si>
    <t>Margem Bruta %</t>
  </si>
  <si>
    <t>2. Impacto da inadimplência</t>
  </si>
  <si>
    <t>Perda de 10%</t>
  </si>
  <si>
    <t>Caso 1</t>
  </si>
  <si>
    <t>SG&amp;A</t>
  </si>
  <si>
    <t>3. Impacto da obsolecência</t>
  </si>
  <si>
    <t>Margem Ebit %</t>
  </si>
  <si>
    <t>Ebitda</t>
  </si>
  <si>
    <t xml:space="preserve">Prazo de Fornecedores </t>
  </si>
  <si>
    <t>Margem Ebitda %</t>
  </si>
  <si>
    <t>Outros não operacionais</t>
  </si>
  <si>
    <t>Caso 2</t>
  </si>
  <si>
    <t>Caso 3</t>
  </si>
  <si>
    <t>Contas a Receber de Clientes</t>
  </si>
  <si>
    <t>Outros ativos</t>
  </si>
  <si>
    <t>Intangivel</t>
  </si>
  <si>
    <t>Fornecedores</t>
  </si>
  <si>
    <t>Financiamentos</t>
  </si>
  <si>
    <t>Lucro Acumulado</t>
  </si>
  <si>
    <t>Fluxo de Caixa</t>
  </si>
  <si>
    <t>Capital Aplicado</t>
  </si>
  <si>
    <t>Nopat</t>
  </si>
  <si>
    <t>despesa financeira</t>
  </si>
  <si>
    <t>%Divida na estrutura de capitais</t>
  </si>
  <si>
    <t>Divida Liquida</t>
  </si>
  <si>
    <t>RoE</t>
  </si>
  <si>
    <t>Capital Investido</t>
  </si>
  <si>
    <t>Custo da Divida</t>
  </si>
  <si>
    <t>Taxa</t>
  </si>
  <si>
    <t>Juros</t>
  </si>
  <si>
    <t>CAPM</t>
  </si>
  <si>
    <t>Fin. Bancários de CP</t>
  </si>
  <si>
    <t>Taxa Base (Rf)</t>
  </si>
  <si>
    <t>Beta do Ativo</t>
  </si>
  <si>
    <t>Prêmio de Risco</t>
  </si>
  <si>
    <t>Caixa e Aplicações Financeiras</t>
  </si>
  <si>
    <t>Taxa CAPM</t>
  </si>
  <si>
    <t>Valor Liquido (Divida - Aplicações)</t>
  </si>
  <si>
    <t>Taxa Bruta</t>
  </si>
  <si>
    <t>Ajustes</t>
  </si>
  <si>
    <t>Aliquota do IR</t>
  </si>
  <si>
    <t>Risco Brasil</t>
  </si>
  <si>
    <t>Taxa da dívida liquida de IR</t>
  </si>
  <si>
    <t>Variação Cambial</t>
  </si>
  <si>
    <t>Liquidez/Small Cap</t>
  </si>
  <si>
    <t>Taxa do capital</t>
  </si>
  <si>
    <t>Custo de Capital da Empresa (WACC)</t>
  </si>
  <si>
    <t>Estrutura de Capitais Projetada</t>
  </si>
  <si>
    <t>%</t>
  </si>
  <si>
    <t>Taxas</t>
  </si>
  <si>
    <t>Calculo</t>
  </si>
  <si>
    <t>Capital Próprio</t>
  </si>
  <si>
    <t>Despesa Financeira</t>
  </si>
  <si>
    <t>Premissas de DRE</t>
  </si>
  <si>
    <t>Explicação</t>
  </si>
  <si>
    <t>Mercado (mil toneladas/ano)</t>
  </si>
  <si>
    <t>Mercado (evolução)</t>
  </si>
  <si>
    <t>base</t>
  </si>
  <si>
    <t>Participação (% do mercado)</t>
  </si>
  <si>
    <t>Preço (R$ /ton)</t>
  </si>
  <si>
    <t>Faturamento Bruto</t>
  </si>
  <si>
    <t>Impostos diretos</t>
  </si>
  <si>
    <t>Faturamento Liquido - evolução (%)</t>
  </si>
  <si>
    <t>Construção de nova fábrica em 2017, inauguração em 2018</t>
  </si>
  <si>
    <t>Custo Unitário sem depreciação (R$/ton)</t>
  </si>
  <si>
    <t>Margem Bruta (%) (antes de descontar a depreciação)</t>
  </si>
  <si>
    <t>Margens melhoram após implantação</t>
  </si>
  <si>
    <t>Despesas de Vendas como % do Faturamento</t>
  </si>
  <si>
    <t>Comissões sobre vendas</t>
  </si>
  <si>
    <t>Evolução das Despesas G&amp;A (%)</t>
  </si>
  <si>
    <t>Aumento da estrutura</t>
  </si>
  <si>
    <t>Tributação base lucro real</t>
  </si>
  <si>
    <t>Premissas de Balanço Patrimonial</t>
  </si>
  <si>
    <t>Depreciação como % do Ativo Imobilizado</t>
  </si>
  <si>
    <t>Vida útil média de 10 anos</t>
  </si>
  <si>
    <t>Capital de Giro como % do Faturamento Liquido</t>
  </si>
  <si>
    <t>Ciclo de caixa médio de 45 dias sobre 360</t>
  </si>
  <si>
    <t>Investimentos em ativos (capex)</t>
  </si>
  <si>
    <t>Construção de nova fábrica em 2017</t>
  </si>
  <si>
    <t>Custo de Fabricação</t>
  </si>
  <si>
    <t>Margem Bruta (%)</t>
  </si>
  <si>
    <t>Depreciação (-)</t>
  </si>
  <si>
    <t>Despesas de Vendas (-)</t>
  </si>
  <si>
    <t>Despesas Gerais e Admin. (-)</t>
  </si>
  <si>
    <t>LAJI (EBIT)</t>
  </si>
  <si>
    <t>EBITDA</t>
  </si>
  <si>
    <t>Margem Ebitda (%)</t>
  </si>
  <si>
    <t>Imposto de Renda (34%)</t>
  </si>
  <si>
    <t>Resultado Operacional Líquido de IR (NOPAT)</t>
  </si>
  <si>
    <t>Imposto de Renda e Contribuição Social (34%)</t>
  </si>
  <si>
    <t>Lucro Líquido de IR</t>
  </si>
  <si>
    <t>(+) Depreciação</t>
  </si>
  <si>
    <t>(-) Investimentos em Capital de Giro</t>
  </si>
  <si>
    <t>(-) Investimentos em Ativos (CAPEX)</t>
  </si>
  <si>
    <t>(=) Fluxo Operacional de Caixa</t>
  </si>
  <si>
    <t>Balanço Patrimonial - Ativos Operacionais</t>
  </si>
  <si>
    <t>Ativo Imobilizado</t>
  </si>
  <si>
    <t>Depreciação Acumulada</t>
  </si>
  <si>
    <t>Ativo Imobilizado Líquido</t>
  </si>
  <si>
    <t>Ativo Operacional Total</t>
  </si>
  <si>
    <t>Balanço Patrimonial - Fontes de Financiamento</t>
  </si>
  <si>
    <t>Dívida Liquida Total</t>
  </si>
  <si>
    <t>% Divida</t>
  </si>
  <si>
    <t>% Capital</t>
  </si>
  <si>
    <t>Total de Fontes de Financiamento</t>
  </si>
  <si>
    <t>Perpetuidade</t>
  </si>
  <si>
    <t>Parcelas de VP</t>
  </si>
  <si>
    <t>VP do Fluxo</t>
  </si>
  <si>
    <t>VP da Perpetuidade</t>
  </si>
  <si>
    <t>Nominal</t>
  </si>
  <si>
    <t>g</t>
  </si>
  <si>
    <t>Taxa Real</t>
  </si>
  <si>
    <t>Inlação</t>
  </si>
  <si>
    <t>Real</t>
  </si>
  <si>
    <t>Valor do Capital Próprio</t>
  </si>
  <si>
    <t>N° de ações</t>
  </si>
  <si>
    <t>Valor por ação</t>
  </si>
  <si>
    <t>Fluxo de caixa descontado</t>
  </si>
  <si>
    <t>Custo da dívida - Kd</t>
  </si>
  <si>
    <t>Valor líquido da dívida</t>
  </si>
  <si>
    <t>Spread</t>
  </si>
  <si>
    <t>Taxa total</t>
  </si>
  <si>
    <t>Taxa bruta</t>
  </si>
  <si>
    <t>Taxa líquida do benefício fiscal</t>
  </si>
  <si>
    <t>Taxa básica</t>
  </si>
  <si>
    <t>Custo do capital próprio - Ke</t>
  </si>
  <si>
    <t>Estrutura de capital</t>
  </si>
  <si>
    <t>% total</t>
  </si>
  <si>
    <t>Cálculo</t>
  </si>
  <si>
    <t>Custo Médio Ponderado de Capital - WACC</t>
  </si>
  <si>
    <t>ANO</t>
  </si>
  <si>
    <t>CDI</t>
  </si>
  <si>
    <t>Anos</t>
  </si>
  <si>
    <t>Total Geral</t>
  </si>
  <si>
    <t>A</t>
  </si>
  <si>
    <t>B</t>
  </si>
  <si>
    <t>C</t>
  </si>
  <si>
    <t>D</t>
  </si>
  <si>
    <t>Mercado</t>
  </si>
  <si>
    <t>Fluxo</t>
  </si>
  <si>
    <t>2020E</t>
  </si>
  <si>
    <t>2021E</t>
  </si>
  <si>
    <t>2022E</t>
  </si>
  <si>
    <t>2023E</t>
  </si>
  <si>
    <t>2024E</t>
  </si>
  <si>
    <t>Aquisição</t>
  </si>
  <si>
    <t>Aumento da estrutura+ m&amp;A</t>
  </si>
  <si>
    <t>Base</t>
  </si>
  <si>
    <t>Projeção (valores reais)</t>
  </si>
  <si>
    <t>DRE Financeiro</t>
  </si>
  <si>
    <t>ganho de cross sell, chegam a 40% de partiipação de mercado em 2018</t>
  </si>
  <si>
    <t>margem bruta se mantëm</t>
  </si>
  <si>
    <t>economia de 20000, custo sobe apenas 20.000</t>
  </si>
  <si>
    <t>Redundâncias nas áreas administrativas possibilitam cortar em 50% as despesas gerais e adm.</t>
  </si>
  <si>
    <t>Balanço Patrimonial - Ativos Operaionais</t>
  </si>
  <si>
    <t>Agio (goodwill)</t>
  </si>
  <si>
    <t>Estrutura de capitais se mantém constante mas beta cai por conta de menores riscos</t>
  </si>
  <si>
    <t>Indicadores de Desempenho</t>
  </si>
  <si>
    <t>Giro dos Ativos Operacionais (Fat. Liq./ Ativos Oper.)</t>
  </si>
  <si>
    <t>Aquisição paga em 4 anos com fluxo de caixa da empresa</t>
  </si>
  <si>
    <t>ganho de cross sell, ganham 10% e chegam a 40% de partiipação de mercado em 2018</t>
  </si>
  <si>
    <t>10% dos ativos operacionais</t>
  </si>
  <si>
    <t>3% do faturamento liquido</t>
  </si>
  <si>
    <t>despesas entram no regime geral da empresa de 5% do faturamento</t>
  </si>
  <si>
    <t>Agio</t>
  </si>
  <si>
    <t>incorporação de 109.400 em ativos operacionais e mais 90.000 em ágio</t>
  </si>
  <si>
    <t>valor de aquisição</t>
  </si>
  <si>
    <t>Aquisição da Billings</t>
  </si>
  <si>
    <t>Contas a pagar (fornecedores)</t>
  </si>
  <si>
    <t>VPLs</t>
  </si>
  <si>
    <t>TIR</t>
  </si>
  <si>
    <t>Payback</t>
  </si>
  <si>
    <t>5 anos</t>
  </si>
  <si>
    <t>5,3 anos</t>
  </si>
  <si>
    <t>2,6 anos</t>
  </si>
  <si>
    <t>Fluxo 1</t>
  </si>
  <si>
    <t>Fluxo 2</t>
  </si>
  <si>
    <t>Fluxo 3</t>
  </si>
  <si>
    <t>Fluxo Total</t>
  </si>
  <si>
    <t>VPL</t>
  </si>
  <si>
    <t>Geração Eolica</t>
  </si>
  <si>
    <t>Distribuição</t>
  </si>
  <si>
    <t>Caso I</t>
  </si>
  <si>
    <t>Caso II</t>
  </si>
  <si>
    <t>Caso III</t>
  </si>
  <si>
    <t>Caso IV</t>
  </si>
  <si>
    <t>B.U.s</t>
  </si>
  <si>
    <t>Equipamentos de Elevação</t>
  </si>
  <si>
    <t>SP</t>
  </si>
  <si>
    <t>MG</t>
  </si>
  <si>
    <t>MS</t>
  </si>
  <si>
    <t>BA</t>
  </si>
  <si>
    <t>Empilhadeiras</t>
  </si>
  <si>
    <t>Geradores</t>
  </si>
  <si>
    <t>Caixa e aplicações financeiras</t>
  </si>
  <si>
    <t>Contas a receber de clientes</t>
  </si>
  <si>
    <t>Impostos a pagar</t>
  </si>
  <si>
    <t>Financiamentos bancários</t>
  </si>
  <si>
    <t>Debêntures</t>
  </si>
  <si>
    <t>Margem EBIT (%)</t>
  </si>
  <si>
    <t>Despesas financeiras</t>
  </si>
  <si>
    <t>Despesas não operacionais</t>
  </si>
  <si>
    <t>Resultado antes do IR e CS</t>
  </si>
  <si>
    <t>Margem Líquida (%)</t>
  </si>
  <si>
    <t>Caixa</t>
  </si>
  <si>
    <t>Capital próprio</t>
  </si>
  <si>
    <t>Beta</t>
  </si>
  <si>
    <t>Receita</t>
  </si>
  <si>
    <t>a) Fluxo da Operação</t>
  </si>
  <si>
    <t>b) Aporte inicial</t>
  </si>
  <si>
    <t xml:space="preserve">c) Valor Terminal </t>
  </si>
  <si>
    <t>VP Fluxo sem investimento (EV)</t>
  </si>
  <si>
    <t>VPL fluxo  (taxa de 17,9%)</t>
  </si>
  <si>
    <t>Taxa Acionista</t>
  </si>
  <si>
    <t>Taxa da Divida</t>
  </si>
  <si>
    <t>Fluxo do Projeto</t>
  </si>
  <si>
    <t>Fluxo Financeiro</t>
  </si>
  <si>
    <t>Financiamento (constante)</t>
  </si>
  <si>
    <t>Saldo</t>
  </si>
  <si>
    <t>Juros após Ben. Fiscal</t>
  </si>
  <si>
    <t>Fluxo Acionistas</t>
  </si>
  <si>
    <t>Fluxo todos</t>
  </si>
  <si>
    <t>VP Fluxo</t>
  </si>
  <si>
    <t>Fluxo Fundadores</t>
  </si>
  <si>
    <t>VPL Fluxo</t>
  </si>
  <si>
    <t xml:space="preserve"> Inicio captação</t>
  </si>
  <si>
    <t>Pat.Liq.</t>
  </si>
  <si>
    <t>Inicio aporte</t>
  </si>
  <si>
    <t>Valuation de entrada</t>
  </si>
  <si>
    <t>Novo valor do equity ao anunciar o projeto (Pós money)</t>
  </si>
  <si>
    <t>Aporte novos acionistas</t>
  </si>
  <si>
    <t>Captação para projeto</t>
  </si>
  <si>
    <t>Patrimonio dos fundadores no inicio</t>
  </si>
  <si>
    <t>Equity dos fundadores sobe de 150 para 244,2</t>
  </si>
  <si>
    <t>IPO</t>
  </si>
  <si>
    <t>PE Caso 1</t>
  </si>
  <si>
    <t>PE Caso 2</t>
  </si>
  <si>
    <t>Sai só PE</t>
  </si>
  <si>
    <t>Saem todos</t>
  </si>
  <si>
    <t>Aporte Fundadores</t>
  </si>
  <si>
    <t>TIR Fundadores</t>
  </si>
  <si>
    <t>VPL Fundadores</t>
  </si>
  <si>
    <t>Valor de aporte do equity</t>
  </si>
  <si>
    <t>Aporte</t>
  </si>
  <si>
    <t>% novos investidores/acionistas</t>
  </si>
  <si>
    <t>% da empresa</t>
  </si>
  <si>
    <t>TIR Fundo</t>
  </si>
  <si>
    <t>VPL Fundo</t>
  </si>
  <si>
    <t>Financiamento (4 parcelas)</t>
  </si>
  <si>
    <t>Fluxo para PE</t>
  </si>
  <si>
    <t>Capitais (entra a 5 x FCF)</t>
  </si>
  <si>
    <t>Venda de 30% (ano 4, 7 x FCF)</t>
  </si>
  <si>
    <t>IPO dos outros 70%(ano 7, 10 x FCF)</t>
  </si>
  <si>
    <t>VPL Fluxo PE (taxa de 20,9%)</t>
  </si>
  <si>
    <t>TIR PE</t>
  </si>
  <si>
    <t>Valor pré money</t>
  </si>
  <si>
    <t>Valor de Entrada dos Novos Acionistas</t>
  </si>
  <si>
    <t>Equity dos fundadores sobe de 150 para 175</t>
  </si>
  <si>
    <t>Fluxo para fundadores</t>
  </si>
  <si>
    <t>VPL Fluxo (taxa de 20,9%)</t>
  </si>
  <si>
    <t xml:space="preserve">TIR </t>
  </si>
  <si>
    <t>Fluxo para Fundadores se sairem com PE</t>
  </si>
  <si>
    <t>Patrimônio Liquido</t>
  </si>
  <si>
    <t>Resultados</t>
  </si>
  <si>
    <t>Outras rec./ desp. Operacionais</t>
  </si>
  <si>
    <t xml:space="preserve">Margem Operacional </t>
  </si>
  <si>
    <t>Cálculo Ebitda</t>
  </si>
  <si>
    <t>Depreciação e Amortização</t>
  </si>
  <si>
    <t>Calculo do ROIC</t>
  </si>
  <si>
    <t xml:space="preserve">Giro do capital </t>
  </si>
  <si>
    <t>Ativos Fixos</t>
  </si>
  <si>
    <t>ROIC base fundadores</t>
  </si>
  <si>
    <t>ROIC base mercado</t>
  </si>
  <si>
    <t>Patrimonial</t>
  </si>
  <si>
    <t>Justo</t>
  </si>
  <si>
    <t>Calculo WACC</t>
  </si>
  <si>
    <t>Taxa do Capital</t>
  </si>
  <si>
    <t>Calculo CAPM</t>
  </si>
  <si>
    <t>Prêmio Small Cap</t>
  </si>
  <si>
    <t>Quantidade de ações</t>
  </si>
  <si>
    <t>Valor Patrimonial</t>
  </si>
  <si>
    <t>Valor Justo Empresa</t>
  </si>
  <si>
    <t>Valor IPO</t>
  </si>
  <si>
    <t>Valor Justo Capital</t>
  </si>
  <si>
    <t>Preço por ação</t>
  </si>
  <si>
    <t>ROIC base IPO</t>
  </si>
  <si>
    <t>ROICs</t>
  </si>
  <si>
    <t>Inicial</t>
  </si>
  <si>
    <t>Valores</t>
  </si>
  <si>
    <r>
      <t xml:space="preserve">Tabela 1 </t>
    </r>
    <r>
      <rPr>
        <b/>
        <sz val="11"/>
        <rFont val="Aptos"/>
        <family val="2"/>
      </rPr>
      <t>Cenário Base</t>
    </r>
  </si>
  <si>
    <t>(+) Clientes</t>
  </si>
  <si>
    <t>dias (sobre faturamento líquido)</t>
  </si>
  <si>
    <t>ROIC (return on invested capital)</t>
  </si>
  <si>
    <t>(+) Estoques</t>
  </si>
  <si>
    <t>WACC (weighted average cost of capital)</t>
  </si>
  <si>
    <t>(-) Fornecedores</t>
  </si>
  <si>
    <t>(=) ROIC - WACC</t>
  </si>
  <si>
    <t>(+) Ativos Fixos</t>
  </si>
  <si>
    <t>lojas. Investimento R$ 300 mil cada.</t>
  </si>
  <si>
    <t>NOPAT (net operating profit after taxes)</t>
  </si>
  <si>
    <t>(+) Outros Ativos Fixos</t>
  </si>
  <si>
    <t>(sistemas, controles, gôndolas, etc.)</t>
  </si>
  <si>
    <t>Resultado (EVA - economic value added)</t>
  </si>
  <si>
    <t>(+) Vendas</t>
  </si>
  <si>
    <t>(=) Lucro Bruto</t>
  </si>
  <si>
    <t>(-) Despesas VG&amp;A</t>
  </si>
  <si>
    <t>(=) LAJIR</t>
  </si>
  <si>
    <t>(lucro antes dos juros e do imposto de renda)</t>
  </si>
  <si>
    <t>(-) IR (34%)</t>
  </si>
  <si>
    <t>(=) NOPAT</t>
  </si>
  <si>
    <t>resultado operacional após impostos</t>
  </si>
  <si>
    <t>Qtde Ações</t>
  </si>
  <si>
    <t>Ano</t>
  </si>
  <si>
    <t>Mg Ebitda</t>
  </si>
  <si>
    <t>RoIC</t>
  </si>
  <si>
    <t>Geração Eolica A</t>
  </si>
  <si>
    <t>Geração Eolica B</t>
  </si>
  <si>
    <t>Distribuição C</t>
  </si>
  <si>
    <t>Distribuição D</t>
  </si>
  <si>
    <t>I</t>
  </si>
  <si>
    <t>II</t>
  </si>
  <si>
    <t>III</t>
  </si>
  <si>
    <t>IV</t>
  </si>
  <si>
    <t>Inicio</t>
  </si>
  <si>
    <t>Ativos</t>
  </si>
  <si>
    <t>WACC Real</t>
  </si>
  <si>
    <t>WACC - 3%</t>
  </si>
  <si>
    <t>WACC Ponderado</t>
  </si>
  <si>
    <t>WACC Ponderado - 3%</t>
  </si>
  <si>
    <t>Ganho</t>
  </si>
  <si>
    <t>PROJETO</t>
  </si>
  <si>
    <t>Invest</t>
  </si>
  <si>
    <t>5,0 anos</t>
  </si>
  <si>
    <t>3,0 anos</t>
  </si>
  <si>
    <t>TOTAL</t>
  </si>
  <si>
    <t>PROJETO C</t>
  </si>
  <si>
    <t>PROJETO D</t>
  </si>
  <si>
    <t>TAXAS</t>
  </si>
  <si>
    <t>Encadeado</t>
  </si>
  <si>
    <t>A + B</t>
  </si>
  <si>
    <t>2 x (C + D)</t>
  </si>
  <si>
    <t>A + C + D</t>
  </si>
  <si>
    <t>B + C + D</t>
  </si>
  <si>
    <t>Projetos A ou B à taxa de 16%, mais C e D à taxa de 12%</t>
  </si>
  <si>
    <t>Projetos A ou B à taxa de 19%, mais C e D à taxa de 15%</t>
  </si>
  <si>
    <t>EV*</t>
  </si>
  <si>
    <t>* enterprise value</t>
  </si>
  <si>
    <t>Ganho % EV</t>
  </si>
  <si>
    <t>Valores máximos acumulados em 12 anos</t>
  </si>
  <si>
    <t>EMPRESA SEM DÍVIDAS</t>
  </si>
  <si>
    <t>EMPRESA COM DÍVIDAS - $ 500 mil</t>
  </si>
  <si>
    <t>EMPRESA COM MAIS DÍVIDAS - $ 600 mil</t>
  </si>
  <si>
    <t>LAJIR</t>
  </si>
  <si>
    <t>CENÁRIO</t>
  </si>
  <si>
    <t>V</t>
  </si>
  <si>
    <t>RoE sem díivda</t>
  </si>
  <si>
    <t>RoE dívida $500m</t>
  </si>
  <si>
    <t>Dividas</t>
  </si>
  <si>
    <t>RoE dívida $600m</t>
  </si>
  <si>
    <t>PL</t>
  </si>
  <si>
    <t>IR</t>
  </si>
  <si>
    <r>
      <t>R</t>
    </r>
    <r>
      <rPr>
        <b/>
        <vertAlign val="subscript"/>
        <sz val="11"/>
        <color theme="1"/>
        <rFont val="Times New Roman"/>
        <family val="1"/>
      </rPr>
      <t>B</t>
    </r>
  </si>
  <si>
    <t>LPA sem dívida</t>
  </si>
  <si>
    <t>Qtde Ações (#)</t>
  </si>
  <si>
    <t>LPA dívida $500m</t>
  </si>
  <si>
    <t>Preço Ação</t>
  </si>
  <si>
    <t>LPA dívida $600m</t>
  </si>
  <si>
    <t>RoE (LL/PL)</t>
  </si>
  <si>
    <t>RoE (LL / PL)</t>
  </si>
  <si>
    <t>LPA (LL/# ações)</t>
  </si>
  <si>
    <t>Valor investido</t>
  </si>
  <si>
    <t>Dívidas</t>
  </si>
  <si>
    <t>Resultado LPA</t>
  </si>
  <si>
    <t>Juros (dívida)</t>
  </si>
  <si>
    <t>RESULTADO</t>
  </si>
  <si>
    <t>(=) LAIR</t>
  </si>
  <si>
    <t>Rb</t>
  </si>
  <si>
    <t>Rs</t>
  </si>
  <si>
    <t>Lajir (ano 1)</t>
  </si>
  <si>
    <t>D / (D+E)</t>
  </si>
  <si>
    <t>E / (D+E)</t>
  </si>
  <si>
    <t>Caso Timbaú</t>
  </si>
  <si>
    <t>CDI do período</t>
  </si>
  <si>
    <t>Multiplo CDI</t>
  </si>
  <si>
    <t xml:space="preserve">Dívida corrente da empresa, calcular com base no DRE </t>
  </si>
  <si>
    <t>130% do CDI</t>
  </si>
  <si>
    <t>Alíquota IR + CS</t>
  </si>
  <si>
    <t>Aliquota efetiva de IR+CS, ou 34% que á a aliquota normal</t>
  </si>
  <si>
    <t>Taxa da Dívida Líquida de IR (Kd)</t>
  </si>
  <si>
    <t>Estrutura de Capital Ideal, participação da dívida nas estrutura de capital</t>
  </si>
  <si>
    <t>Custo do Capital do Acionista:</t>
  </si>
  <si>
    <t>Beta setorial, tabelas do Damodaran, Capital IQ, etc.</t>
  </si>
  <si>
    <t>Formula de Hamada: Beta Alav. = Beta 0 x (1+((D/CP) x (1-Aliq.IR))</t>
  </si>
  <si>
    <t>Tbond 10 anos</t>
  </si>
  <si>
    <t>Damodaran  - SP500 - Tbond 1928 a 2016</t>
  </si>
  <si>
    <t>Fórmula do CAPM: Ke = Taxa Base + Beta x Prêmio de Risco</t>
  </si>
  <si>
    <t xml:space="preserve">EMBI Brasil, média do ano </t>
  </si>
  <si>
    <t>Prêmio de Empresa Pequena (small cap)</t>
  </si>
  <si>
    <t>Ibbotson 2015, quando estiver fora do mercado e Mkt Cap &lt; R$ 1 bi</t>
  </si>
  <si>
    <t>Inflação E.U.A.</t>
  </si>
  <si>
    <t>CPI (media)</t>
  </si>
  <si>
    <t>Inflação Brasil</t>
  </si>
  <si>
    <t>IPCA (media)</t>
  </si>
  <si>
    <t>Estrutura de Capital Ideal Projetada</t>
  </si>
  <si>
    <t>WACC R$ nominal</t>
  </si>
  <si>
    <t>WACC real</t>
  </si>
  <si>
    <t>Deflacionado pelo IPCA</t>
  </si>
  <si>
    <t>Custo Médio Ponderado (base CDI):</t>
  </si>
  <si>
    <t>Ke (base CDI)</t>
  </si>
  <si>
    <t>Fórmula do CAPM: Ke = CDI + Beta x Prêmio de Risco + Prêmio Small Cap</t>
  </si>
  <si>
    <t>WACC (base CDI)</t>
  </si>
  <si>
    <t>Taxa usual para investidores brasileiros</t>
  </si>
  <si>
    <t>Diferença do WACC</t>
  </si>
  <si>
    <t>(=) Resultado Operacional (EBIT)</t>
  </si>
  <si>
    <t xml:space="preserve">(=) Lucro Liquido </t>
  </si>
  <si>
    <t>AH</t>
  </si>
  <si>
    <t>valores em MR$</t>
  </si>
  <si>
    <t>Margem Ebita</t>
  </si>
  <si>
    <t>Variação Receita</t>
  </si>
  <si>
    <t>Variação Ebitda</t>
  </si>
  <si>
    <t>PASSIVO + PL</t>
  </si>
  <si>
    <t>ATIVO</t>
  </si>
  <si>
    <t>n/d</t>
  </si>
  <si>
    <t>Liquidez Corrente</t>
  </si>
  <si>
    <t>Prazo Clientes</t>
  </si>
  <si>
    <t>Prazo Estoques</t>
  </si>
  <si>
    <t>Prazo Fornecedores</t>
  </si>
  <si>
    <t>Prazo Impostos e Obrigações</t>
  </si>
  <si>
    <t>Ciclo de Caixa</t>
  </si>
  <si>
    <t>Capital de Giro Líquido (operacional)</t>
  </si>
  <si>
    <t>% CGL Operacional / Receita</t>
  </si>
  <si>
    <t>Dívida Bruta</t>
  </si>
  <si>
    <t>% Dívida / Capital Investido</t>
  </si>
  <si>
    <t>% PL / Capital Investido</t>
  </si>
  <si>
    <t>Capital Acionista (PL)</t>
  </si>
  <si>
    <t>Dívida Líquida / PL</t>
  </si>
  <si>
    <t>Liquidez Seca</t>
  </si>
  <si>
    <t>IR + CSLL (34%)</t>
  </si>
  <si>
    <t>Margem NOPAT</t>
  </si>
  <si>
    <t>Capital Investido (médio)</t>
  </si>
  <si>
    <t>Custo da Dívida</t>
  </si>
  <si>
    <t>Impostos sobre a Renda</t>
  </si>
  <si>
    <t>Rb (custo da dívida, líquido)</t>
  </si>
  <si>
    <t>ENDIVIDAMENTO</t>
  </si>
  <si>
    <t>CAPITAL PRÓPRIO</t>
  </si>
  <si>
    <t>Rs (custo do capital próprio)</t>
  </si>
  <si>
    <t>Rf (taxa livre de risco - TB10y)</t>
  </si>
  <si>
    <t>ERP (equity risk premium)</t>
  </si>
  <si>
    <t>Beta (alavancado da empresa)</t>
  </si>
  <si>
    <t>Inflação LP - Br</t>
  </si>
  <si>
    <t>Inflação LP - USA</t>
  </si>
  <si>
    <t>WACC (custo médio de capital)</t>
  </si>
  <si>
    <t>RoIC - WACC</t>
  </si>
  <si>
    <t>CGL Operacional</t>
  </si>
  <si>
    <t>CGL / Receita</t>
  </si>
  <si>
    <t>PMRV</t>
  </si>
  <si>
    <t>PMRE</t>
  </si>
  <si>
    <t>PMPC</t>
  </si>
  <si>
    <t>VISÃO ROIC</t>
  </si>
  <si>
    <t>VISÃO ROE</t>
  </si>
  <si>
    <t>PL (médio)</t>
  </si>
  <si>
    <t>RoE - Rs</t>
  </si>
  <si>
    <t>Districom S.A.</t>
  </si>
  <si>
    <t>Resultados Historicos e Projeção 2017</t>
  </si>
  <si>
    <t>Simulacões</t>
  </si>
  <si>
    <t>Perda de  5%</t>
  </si>
  <si>
    <t>LL</t>
  </si>
  <si>
    <t>Outros (Impostos e salários e contribuições)</t>
  </si>
  <si>
    <t>Variações nos investimentos</t>
  </si>
  <si>
    <t>Variação no capital</t>
  </si>
  <si>
    <t>Variação na divida liquida</t>
  </si>
  <si>
    <t>Perda com Inadimplência e com Estoque</t>
  </si>
  <si>
    <t>Valor Total</t>
  </si>
  <si>
    <t>Prazo de Clientes (dias)</t>
  </si>
  <si>
    <t>Prazo de Estoques (dias)</t>
  </si>
  <si>
    <t>Prazo de Fornecedores (dias)</t>
  </si>
  <si>
    <t>Rd</t>
  </si>
  <si>
    <t>Divida/Ebitda</t>
  </si>
  <si>
    <t>2024 p</t>
  </si>
  <si>
    <t>ATUAL</t>
  </si>
  <si>
    <t>PROPOSTO</t>
  </si>
  <si>
    <t>Outros (Imp e Sal a pagar)</t>
  </si>
  <si>
    <t>Valor TOTAL ($)</t>
  </si>
  <si>
    <t>(=) EBIT</t>
  </si>
  <si>
    <t>Variações no CGL</t>
  </si>
  <si>
    <t>Outros (Imp., Sal. e Contr.)</t>
  </si>
  <si>
    <t>DRE</t>
  </si>
  <si>
    <t>BP</t>
  </si>
  <si>
    <t>Ciclo de Caixa (dias)</t>
  </si>
  <si>
    <t>PREMISSAS</t>
  </si>
  <si>
    <t>Aportes de capital</t>
  </si>
  <si>
    <t>Fechar ?</t>
  </si>
  <si>
    <t>% anual</t>
  </si>
  <si>
    <t>sim = 1</t>
  </si>
  <si>
    <t>Otimizado</t>
  </si>
  <si>
    <t>Vendas</t>
  </si>
  <si>
    <t>Cap Invest</t>
  </si>
  <si>
    <t>Subtotal</t>
  </si>
  <si>
    <t>Eqptos Elevação</t>
  </si>
  <si>
    <t>Crescimento Vendas</t>
  </si>
  <si>
    <t>Esperado</t>
  </si>
  <si>
    <t>Pessimista</t>
  </si>
  <si>
    <t>Otimista</t>
  </si>
  <si>
    <t>Rs (CAPM Br)</t>
  </si>
  <si>
    <t>Passivo + PL Total</t>
  </si>
  <si>
    <t>Custos Diretos (CPV)</t>
  </si>
  <si>
    <t>Despesas operacionais</t>
  </si>
  <si>
    <t>(=) LAJIR (EBIT)</t>
  </si>
  <si>
    <t>Capital Giro Operacional</t>
  </si>
  <si>
    <t>Ativos Fixos + Investimentos</t>
  </si>
  <si>
    <t>ATIVOS OPERACIONAIS</t>
  </si>
  <si>
    <t>CAPITAL ALOCADO</t>
  </si>
  <si>
    <t>BALANÇO PATRIMONIAL (VISÃO FINANCEIRA)</t>
  </si>
  <si>
    <t>Inicio captação</t>
  </si>
  <si>
    <t>Nos dois casos existe a possibilidade dos acionistas originais ficarem ou sairem junto com o PE</t>
  </si>
  <si>
    <t xml:space="preserve">Caso 2: Multiplos de saida são 10 x FCF no ano 4 e 12 x FCF no ano 7 </t>
  </si>
  <si>
    <t xml:space="preserve">Caso 1: Multiplos de saida são 7 x FCF no ano 4 e 10 x FCF no ano 7 </t>
  </si>
  <si>
    <t>NOTAS:</t>
  </si>
  <si>
    <t>í</t>
  </si>
  <si>
    <t>Quatá</t>
  </si>
  <si>
    <t>Vegas</t>
  </si>
  <si>
    <t>Icaraí</t>
  </si>
  <si>
    <t>Moinho</t>
  </si>
  <si>
    <t>Polaris</t>
  </si>
  <si>
    <t>Districom</t>
  </si>
  <si>
    <t>Kilimanjaro</t>
  </si>
  <si>
    <t>Elektra</t>
  </si>
  <si>
    <t>M&amp;M</t>
  </si>
  <si>
    <t>Topázio</t>
  </si>
  <si>
    <t>Droganet</t>
  </si>
  <si>
    <t>página</t>
  </si>
  <si>
    <t>cap.</t>
  </si>
  <si>
    <t>Nome</t>
  </si>
  <si>
    <t>Lista de casos</t>
  </si>
  <si>
    <t xml:space="preserve">O CFO Estrategista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</si>
</sst>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#,##0.0;[Red]\-#,##0.0"/>
    <numFmt numFmtId="166" formatCode="0.0%"/>
    <numFmt numFmtId="167" formatCode="_(* #,##0.0_);_(* \(#,##0.0\);_(* &quot;-&quot;??_);_(@_)"/>
    <numFmt numFmtId="168" formatCode="_(&quot;$&quot;* #,##0.00_);_(&quot;$&quot;* \(#,##0.00\);_(&quot;$&quot;* &quot;-&quot;??_);_(@_)"/>
    <numFmt numFmtId="169" formatCode="#,##0.0_);[Red]\(#,##0.0\)"/>
    <numFmt numFmtId="170" formatCode="_(* #,##0.00_);_(* \(#,##0.00\);_(* &quot;-&quot;??_);_(@_)"/>
    <numFmt numFmtId="171" formatCode="_(* #,##0_);_(* \(#,##0\);_(* &quot;-&quot;??_);_(@_)"/>
    <numFmt numFmtId="172" formatCode="_-* #,##0.0_-;\-* #,##0.0_-;_-* &quot;-&quot;??_-;_-@_-"/>
    <numFmt numFmtId="173" formatCode="_-* #,##0_-;\-* #,##0_-;_-* &quot;-&quot;??_-;_-@_-"/>
    <numFmt numFmtId="174" formatCode="0.0"/>
    <numFmt numFmtId="175" formatCode="#,##0;[Red]\-#,##0;\-"/>
    <numFmt numFmtId="176" formatCode="_-* #,##0.0_-;\-* #,##0.0_-;_-* &quot;-&quot;?_-;_-@_-"/>
    <numFmt numFmtId="177" formatCode="#,##0.0"/>
  </numFmts>
  <fonts count="54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Geneva"/>
      <family val="2"/>
    </font>
    <font>
      <u/>
      <sz val="10"/>
      <color indexed="12"/>
      <name val="Geneva"/>
      <family val="2"/>
    </font>
    <font>
      <sz val="10"/>
      <name val="Arial"/>
      <family val="2"/>
    </font>
    <font>
      <sz val="10"/>
      <name val="Arial"/>
      <family val="2"/>
    </font>
    <font>
      <sz val="1"/>
      <color indexed="9"/>
      <name val="Symbol"/>
      <family val="1"/>
      <charset val="2"/>
    </font>
    <font>
      <b/>
      <u/>
      <sz val="16"/>
      <name val="Aptos"/>
      <family val="2"/>
    </font>
    <font>
      <sz val="10"/>
      <name val="Aptos"/>
      <family val="2"/>
    </font>
    <font>
      <b/>
      <sz val="11"/>
      <name val="Aptos"/>
      <family val="2"/>
    </font>
    <font>
      <sz val="11"/>
      <name val="Aptos"/>
      <family val="2"/>
    </font>
    <font>
      <b/>
      <sz val="10"/>
      <name val="Aptos"/>
      <family val="2"/>
    </font>
    <font>
      <sz val="10"/>
      <color theme="1"/>
      <name val="Aptos"/>
      <family val="2"/>
    </font>
    <font>
      <b/>
      <sz val="10"/>
      <color theme="1"/>
      <name val="Aptos"/>
      <family val="2"/>
    </font>
    <font>
      <sz val="12"/>
      <color theme="1"/>
      <name val="Aptos"/>
      <family val="2"/>
    </font>
    <font>
      <b/>
      <u/>
      <sz val="10"/>
      <name val="Aptos"/>
      <family val="2"/>
    </font>
    <font>
      <i/>
      <sz val="10"/>
      <name val="Aptos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vertAlign val="subscript"/>
      <sz val="11"/>
      <color theme="1"/>
      <name val="Times New Roman"/>
      <family val="1"/>
    </font>
    <font>
      <b/>
      <sz val="10"/>
      <color indexed="12"/>
      <name val="Aptos"/>
      <family val="2"/>
    </font>
    <font>
      <u/>
      <sz val="10"/>
      <name val="Aptos"/>
      <family val="2"/>
    </font>
    <font>
      <b/>
      <sz val="10"/>
      <color theme="0"/>
      <name val="Aptos"/>
      <family val="2"/>
    </font>
    <font>
      <b/>
      <sz val="10"/>
      <color theme="3"/>
      <name val="Aptos"/>
      <family val="2"/>
    </font>
    <font>
      <b/>
      <sz val="10"/>
      <color theme="1" tint="0.34998626667073579"/>
      <name val="Aptos"/>
      <family val="2"/>
    </font>
    <font>
      <sz val="10"/>
      <color theme="1" tint="0.249977111117893"/>
      <name val="Aptos"/>
      <family val="2"/>
    </font>
    <font>
      <b/>
      <u/>
      <sz val="10"/>
      <color theme="1" tint="0.249977111117893"/>
      <name val="Aptos"/>
      <family val="2"/>
    </font>
    <font>
      <sz val="10"/>
      <color theme="1" tint="0.34998626667073579"/>
      <name val="Aptos"/>
      <family val="2"/>
    </font>
    <font>
      <b/>
      <u/>
      <sz val="10"/>
      <color theme="1" tint="0.34998626667073579"/>
      <name val="Aptos"/>
      <family val="2"/>
    </font>
    <font>
      <b/>
      <sz val="10"/>
      <color theme="1" tint="0.249977111117893"/>
      <name val="Aptos"/>
      <family val="2"/>
    </font>
    <font>
      <b/>
      <sz val="10"/>
      <color rgb="FF0070C0"/>
      <name val="Aptos"/>
      <family val="2"/>
    </font>
    <font>
      <b/>
      <sz val="10"/>
      <color rgb="FF008000"/>
      <name val="Aptos"/>
      <family val="2"/>
    </font>
    <font>
      <sz val="10"/>
      <color rgb="FF008000"/>
      <name val="Aptos"/>
      <family val="2"/>
    </font>
    <font>
      <sz val="10"/>
      <color rgb="FF000090"/>
      <name val="Aptos"/>
      <family val="2"/>
    </font>
    <font>
      <b/>
      <sz val="10"/>
      <color rgb="FF000090"/>
      <name val="Aptos"/>
      <family val="2"/>
    </font>
    <font>
      <i/>
      <sz val="10"/>
      <color theme="1"/>
      <name val="Aptos"/>
      <family val="2"/>
    </font>
    <font>
      <b/>
      <i/>
      <sz val="10"/>
      <color theme="0" tint="-0.499984740745262"/>
      <name val="Aptos"/>
      <family val="2"/>
    </font>
    <font>
      <sz val="10"/>
      <color theme="0" tint="-0.499984740745262"/>
      <name val="Aptos"/>
      <family val="2"/>
    </font>
    <font>
      <i/>
      <sz val="10"/>
      <color theme="1" tint="0.499984740745262"/>
      <name val="Aptos"/>
      <family val="2"/>
    </font>
    <font>
      <sz val="12"/>
      <name val="Aptos"/>
      <family val="2"/>
    </font>
    <font>
      <sz val="10"/>
      <color theme="0"/>
      <name val="Aptos"/>
      <family val="2"/>
    </font>
    <font>
      <b/>
      <i/>
      <sz val="10"/>
      <color theme="1" tint="0.499984740745262"/>
      <name val="Aptos"/>
      <family val="2"/>
    </font>
    <font>
      <b/>
      <u/>
      <sz val="10"/>
      <color theme="1"/>
      <name val="Aptos"/>
      <family val="2"/>
    </font>
    <font>
      <b/>
      <i/>
      <sz val="10"/>
      <name val="Aptos"/>
      <family val="2"/>
    </font>
    <font>
      <b/>
      <sz val="12"/>
      <name val="Aptos"/>
      <family val="2"/>
    </font>
    <font>
      <b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rgb="FF000000"/>
      </patternFill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4">
    <xf numFmtId="0" fontId="0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7" fillId="0" borderId="0"/>
    <xf numFmtId="0" fontId="8" fillId="0" borderId="0" applyNumberFormat="0" applyFill="0" applyBorder="0" applyAlignment="0" applyProtection="0">
      <alignment vertical="top"/>
      <protection locked="0"/>
    </xf>
    <xf numFmtId="168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9" fillId="0" borderId="0"/>
    <xf numFmtId="9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0" fontId="11" fillId="0" borderId="0" applyAlignment="0"/>
    <xf numFmtId="0" fontId="10" fillId="0" borderId="0"/>
    <xf numFmtId="43" fontId="4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70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</cellStyleXfs>
  <cellXfs count="631">
    <xf numFmtId="0" fontId="0" fillId="0" borderId="0" xfId="0"/>
    <xf numFmtId="0" fontId="12" fillId="0" borderId="0" xfId="21" applyFont="1" applyAlignment="1">
      <alignment vertical="center"/>
    </xf>
    <xf numFmtId="0" fontId="13" fillId="0" borderId="0" xfId="21" applyFont="1" applyAlignment="1">
      <alignment vertical="center"/>
    </xf>
    <xf numFmtId="4" fontId="13" fillId="0" borderId="0" xfId="21" applyNumberFormat="1" applyFont="1" applyAlignment="1">
      <alignment horizontal="center" vertical="center"/>
    </xf>
    <xf numFmtId="0" fontId="13" fillId="0" borderId="0" xfId="21" applyFont="1" applyAlignment="1">
      <alignment horizontal="center" vertical="center"/>
    </xf>
    <xf numFmtId="0" fontId="14" fillId="0" borderId="0" xfId="21" applyFont="1" applyAlignment="1">
      <alignment vertical="center"/>
    </xf>
    <xf numFmtId="0" fontId="15" fillId="0" borderId="0" xfId="21" applyFont="1" applyAlignment="1">
      <alignment vertical="center"/>
    </xf>
    <xf numFmtId="0" fontId="13" fillId="0" borderId="0" xfId="21" applyFont="1" applyAlignment="1">
      <alignment horizontal="left" vertical="center"/>
    </xf>
    <xf numFmtId="4" fontId="15" fillId="0" borderId="0" xfId="21" applyNumberFormat="1" applyFont="1" applyAlignment="1">
      <alignment horizontal="center" vertical="center"/>
    </xf>
    <xf numFmtId="0" fontId="15" fillId="0" borderId="0" xfId="21" applyFont="1" applyAlignment="1">
      <alignment horizontal="center" vertical="center"/>
    </xf>
    <xf numFmtId="0" fontId="16" fillId="0" borderId="0" xfId="21" applyFont="1" applyAlignment="1">
      <alignment vertical="center"/>
    </xf>
    <xf numFmtId="0" fontId="16" fillId="0" borderId="0" xfId="21" applyFont="1" applyAlignment="1">
      <alignment horizontal="left" vertical="center"/>
    </xf>
    <xf numFmtId="0" fontId="16" fillId="0" borderId="0" xfId="21" applyFont="1" applyAlignment="1">
      <alignment horizontal="center" vertical="center"/>
    </xf>
    <xf numFmtId="4" fontId="16" fillId="0" borderId="0" xfId="21" applyNumberFormat="1" applyFont="1" applyAlignment="1">
      <alignment horizontal="center" vertical="center"/>
    </xf>
    <xf numFmtId="4" fontId="17" fillId="0" borderId="0" xfId="3" applyNumberFormat="1" applyFont="1" applyAlignment="1">
      <alignment horizontal="center"/>
    </xf>
    <xf numFmtId="10" fontId="13" fillId="0" borderId="0" xfId="21" applyNumberFormat="1" applyFont="1" applyAlignment="1">
      <alignment horizontal="center" vertical="center"/>
    </xf>
    <xf numFmtId="10" fontId="13" fillId="0" borderId="1" xfId="21" applyNumberFormat="1" applyFont="1" applyBorder="1" applyAlignment="1">
      <alignment horizontal="center" vertical="center"/>
    </xf>
    <xf numFmtId="4" fontId="17" fillId="0" borderId="1" xfId="3" applyNumberFormat="1" applyFont="1" applyBorder="1" applyAlignment="1">
      <alignment horizontal="center"/>
    </xf>
    <xf numFmtId="4" fontId="17" fillId="0" borderId="0" xfId="3" applyNumberFormat="1" applyFont="1" applyBorder="1" applyAlignment="1">
      <alignment horizontal="center"/>
    </xf>
    <xf numFmtId="10" fontId="16" fillId="0" borderId="0" xfId="21" applyNumberFormat="1" applyFont="1" applyAlignment="1">
      <alignment horizontal="center" vertical="center"/>
    </xf>
    <xf numFmtId="4" fontId="18" fillId="0" borderId="0" xfId="3" applyNumberFormat="1" applyFont="1" applyAlignment="1">
      <alignment horizontal="center"/>
    </xf>
    <xf numFmtId="4" fontId="18" fillId="0" borderId="4" xfId="3" applyNumberFormat="1" applyFont="1" applyBorder="1" applyAlignment="1">
      <alignment horizontal="center"/>
    </xf>
    <xf numFmtId="4" fontId="18" fillId="0" borderId="0" xfId="3" applyNumberFormat="1" applyFont="1" applyBorder="1" applyAlignment="1">
      <alignment horizontal="center"/>
    </xf>
    <xf numFmtId="9" fontId="13" fillId="0" borderId="0" xfId="21" applyNumberFormat="1" applyFont="1" applyAlignment="1">
      <alignment horizontal="center" vertical="center"/>
    </xf>
    <xf numFmtId="9" fontId="13" fillId="0" borderId="0" xfId="21" applyNumberFormat="1" applyFont="1" applyAlignment="1">
      <alignment vertical="center"/>
    </xf>
    <xf numFmtId="4" fontId="13" fillId="0" borderId="0" xfId="22" applyNumberFormat="1" applyFont="1" applyBorder="1" applyAlignment="1">
      <alignment horizontal="center" vertical="center"/>
    </xf>
    <xf numFmtId="167" fontId="16" fillId="0" borderId="0" xfId="22" applyNumberFormat="1" applyFont="1" applyBorder="1" applyAlignment="1">
      <alignment horizontal="center" vertical="center"/>
    </xf>
    <xf numFmtId="167" fontId="13" fillId="0" borderId="0" xfId="21" applyNumberFormat="1" applyFont="1" applyAlignment="1">
      <alignment horizontal="center" vertical="center"/>
    </xf>
    <xf numFmtId="9" fontId="13" fillId="0" borderId="0" xfId="23" applyFont="1" applyBorder="1" applyAlignment="1">
      <alignment horizontal="center" vertical="center"/>
    </xf>
    <xf numFmtId="4" fontId="18" fillId="0" borderId="2" xfId="3" applyNumberFormat="1" applyFont="1" applyBorder="1" applyAlignment="1">
      <alignment horizontal="center"/>
    </xf>
    <xf numFmtId="10" fontId="13" fillId="0" borderId="0" xfId="23" applyNumberFormat="1" applyFont="1" applyBorder="1" applyAlignment="1">
      <alignment horizontal="center" vertical="center"/>
    </xf>
    <xf numFmtId="0" fontId="19" fillId="0" borderId="0" xfId="0" applyFont="1"/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3" fontId="17" fillId="0" borderId="0" xfId="0" applyNumberFormat="1" applyFont="1" applyAlignment="1">
      <alignment horizontal="center"/>
    </xf>
    <xf numFmtId="0" fontId="16" fillId="0" borderId="0" xfId="8" applyFont="1" applyAlignment="1">
      <alignment horizontal="center"/>
    </xf>
    <xf numFmtId="3" fontId="13" fillId="0" borderId="0" xfId="8" applyNumberFormat="1" applyFont="1" applyAlignment="1">
      <alignment horizontal="center"/>
    </xf>
    <xf numFmtId="166" fontId="13" fillId="0" borderId="0" xfId="8" applyNumberFormat="1" applyFont="1" applyAlignment="1">
      <alignment horizontal="center"/>
    </xf>
    <xf numFmtId="0" fontId="13" fillId="0" borderId="0" xfId="8" applyFont="1" applyAlignment="1">
      <alignment horizontal="center"/>
    </xf>
    <xf numFmtId="4" fontId="13" fillId="0" borderId="0" xfId="8" applyNumberFormat="1" applyFont="1" applyAlignment="1">
      <alignment horizontal="center"/>
    </xf>
    <xf numFmtId="0" fontId="16" fillId="0" borderId="0" xfId="8" applyFont="1" applyAlignment="1">
      <alignment horizontal="left"/>
    </xf>
    <xf numFmtId="0" fontId="13" fillId="0" borderId="0" xfId="8" applyFont="1" applyAlignment="1">
      <alignment horizontal="left"/>
    </xf>
    <xf numFmtId="0" fontId="16" fillId="0" borderId="6" xfId="8" applyFont="1" applyBorder="1" applyAlignment="1">
      <alignment horizontal="center"/>
    </xf>
    <xf numFmtId="3" fontId="13" fillId="0" borderId="6" xfId="8" applyNumberFormat="1" applyFont="1" applyBorder="1" applyAlignment="1">
      <alignment horizontal="center"/>
    </xf>
    <xf numFmtId="0" fontId="13" fillId="0" borderId="6" xfId="8" applyFont="1" applyBorder="1" applyAlignment="1">
      <alignment horizontal="center"/>
    </xf>
    <xf numFmtId="3" fontId="13" fillId="0" borderId="17" xfId="8" applyNumberFormat="1" applyFont="1" applyBorder="1" applyAlignment="1">
      <alignment horizontal="center"/>
    </xf>
    <xf numFmtId="4" fontId="13" fillId="0" borderId="6" xfId="8" applyNumberFormat="1" applyFont="1" applyBorder="1" applyAlignment="1">
      <alignment horizontal="center"/>
    </xf>
    <xf numFmtId="166" fontId="13" fillId="0" borderId="0" xfId="24" applyNumberFormat="1" applyFont="1" applyFill="1" applyAlignment="1">
      <alignment horizontal="center"/>
    </xf>
    <xf numFmtId="10" fontId="13" fillId="0" borderId="6" xfId="1" applyNumberFormat="1" applyFont="1" applyBorder="1" applyAlignment="1">
      <alignment horizontal="center"/>
    </xf>
    <xf numFmtId="166" fontId="13" fillId="0" borderId="6" xfId="8" applyNumberFormat="1" applyFont="1" applyBorder="1" applyAlignment="1">
      <alignment horizontal="center"/>
    </xf>
    <xf numFmtId="0" fontId="16" fillId="0" borderId="6" xfId="8" applyFont="1" applyBorder="1" applyAlignment="1">
      <alignment horizontal="left"/>
    </xf>
    <xf numFmtId="4" fontId="16" fillId="0" borderId="6" xfId="8" applyNumberFormat="1" applyFont="1" applyBorder="1" applyAlignment="1">
      <alignment horizontal="center"/>
    </xf>
    <xf numFmtId="10" fontId="16" fillId="0" borderId="6" xfId="8" applyNumberFormat="1" applyFont="1" applyBorder="1" applyAlignment="1">
      <alignment horizontal="center"/>
    </xf>
    <xf numFmtId="4" fontId="16" fillId="0" borderId="0" xfId="8" applyNumberFormat="1" applyFont="1" applyAlignment="1">
      <alignment horizontal="center"/>
    </xf>
    <xf numFmtId="4" fontId="13" fillId="0" borderId="0" xfId="8" applyNumberFormat="1" applyFont="1" applyAlignment="1">
      <alignment horizontal="right"/>
    </xf>
    <xf numFmtId="166" fontId="16" fillId="0" borderId="6" xfId="1" applyNumberFormat="1" applyFont="1" applyBorder="1" applyAlignment="1">
      <alignment horizontal="center"/>
    </xf>
    <xf numFmtId="0" fontId="21" fillId="0" borderId="0" xfId="8" applyFont="1" applyAlignment="1">
      <alignment horizontal="left"/>
    </xf>
    <xf numFmtId="166" fontId="13" fillId="0" borderId="6" xfId="1" applyNumberFormat="1" applyFont="1" applyBorder="1" applyAlignment="1">
      <alignment horizontal="center"/>
    </xf>
    <xf numFmtId="166" fontId="13" fillId="0" borderId="0" xfId="1" applyNumberFormat="1" applyFont="1" applyBorder="1" applyAlignment="1">
      <alignment horizontal="center"/>
    </xf>
    <xf numFmtId="4" fontId="13" fillId="0" borderId="16" xfId="8" applyNumberFormat="1" applyFont="1" applyBorder="1" applyAlignment="1">
      <alignment horizontal="center"/>
    </xf>
    <xf numFmtId="4" fontId="16" fillId="0" borderId="17" xfId="8" applyNumberFormat="1" applyFont="1" applyBorder="1" applyAlignment="1">
      <alignment horizontal="center"/>
    </xf>
    <xf numFmtId="4" fontId="16" fillId="0" borderId="16" xfId="8" applyNumberFormat="1" applyFont="1" applyBorder="1" applyAlignment="1">
      <alignment horizontal="center"/>
    </xf>
    <xf numFmtId="3" fontId="16" fillId="0" borderId="6" xfId="8" applyNumberFormat="1" applyFont="1" applyBorder="1" applyAlignment="1">
      <alignment horizontal="center"/>
    </xf>
    <xf numFmtId="4" fontId="19" fillId="0" borderId="0" xfId="0" applyNumberFormat="1" applyFont="1" applyAlignment="1">
      <alignment horizontal="center"/>
    </xf>
    <xf numFmtId="0" fontId="19" fillId="0" borderId="0" xfId="0" applyFont="1" applyAlignment="1">
      <alignment horizontal="center"/>
    </xf>
    <xf numFmtId="3" fontId="22" fillId="0" borderId="19" xfId="26" applyNumberFormat="1" applyFont="1" applyBorder="1" applyAlignment="1">
      <alignment horizontal="center" vertical="center"/>
    </xf>
    <xf numFmtId="3" fontId="23" fillId="0" borderId="0" xfId="26" applyNumberFormat="1" applyFont="1" applyAlignment="1">
      <alignment horizontal="center" vertical="center"/>
    </xf>
    <xf numFmtId="3" fontId="22" fillId="0" borderId="0" xfId="26" applyNumberFormat="1" applyFont="1" applyAlignment="1">
      <alignment vertical="center"/>
    </xf>
    <xf numFmtId="3" fontId="22" fillId="0" borderId="18" xfId="26" applyNumberFormat="1" applyFont="1" applyBorder="1" applyAlignment="1">
      <alignment horizontal="left" vertical="center"/>
    </xf>
    <xf numFmtId="3" fontId="22" fillId="0" borderId="28" xfId="26" applyNumberFormat="1" applyFont="1" applyBorder="1" applyAlignment="1">
      <alignment horizontal="center" vertical="center"/>
    </xf>
    <xf numFmtId="3" fontId="22" fillId="0" borderId="0" xfId="26" applyNumberFormat="1" applyFont="1" applyAlignment="1">
      <alignment horizontal="center" vertical="center"/>
    </xf>
    <xf numFmtId="166" fontId="22" fillId="0" borderId="0" xfId="27" applyNumberFormat="1" applyFont="1" applyAlignment="1">
      <alignment horizontal="center" vertical="center"/>
    </xf>
    <xf numFmtId="3" fontId="22" fillId="0" borderId="15" xfId="26" applyNumberFormat="1" applyFont="1" applyBorder="1" applyAlignment="1">
      <alignment horizontal="left" vertical="center"/>
    </xf>
    <xf numFmtId="3" fontId="23" fillId="0" borderId="29" xfId="26" applyNumberFormat="1" applyFont="1" applyBorder="1" applyAlignment="1">
      <alignment horizontal="center" vertical="center"/>
    </xf>
    <xf numFmtId="9" fontId="23" fillId="0" borderId="0" xfId="27" applyFont="1" applyBorder="1" applyAlignment="1">
      <alignment horizontal="center" vertical="center"/>
    </xf>
    <xf numFmtId="9" fontId="23" fillId="0" borderId="29" xfId="27" applyFont="1" applyBorder="1" applyAlignment="1">
      <alignment horizontal="center" vertical="center"/>
    </xf>
    <xf numFmtId="4" fontId="22" fillId="0" borderId="0" xfId="27" applyNumberFormat="1" applyFont="1" applyAlignment="1">
      <alignment horizontal="center" vertical="center"/>
    </xf>
    <xf numFmtId="3" fontId="22" fillId="0" borderId="21" xfId="26" applyNumberFormat="1" applyFont="1" applyBorder="1" applyAlignment="1">
      <alignment horizontal="left" vertical="center"/>
    </xf>
    <xf numFmtId="4" fontId="23" fillId="0" borderId="22" xfId="26" applyNumberFormat="1" applyFont="1" applyBorder="1" applyAlignment="1">
      <alignment horizontal="center" vertical="center"/>
    </xf>
    <xf numFmtId="4" fontId="23" fillId="0" borderId="11" xfId="26" applyNumberFormat="1" applyFont="1" applyBorder="1" applyAlignment="1">
      <alignment horizontal="center" vertical="center"/>
    </xf>
    <xf numFmtId="3" fontId="22" fillId="0" borderId="0" xfId="26" applyNumberFormat="1" applyFont="1" applyAlignment="1">
      <alignment horizontal="left" vertical="center"/>
    </xf>
    <xf numFmtId="3" fontId="22" fillId="0" borderId="12" xfId="26" applyNumberFormat="1" applyFont="1" applyBorder="1" applyAlignment="1">
      <alignment horizontal="left" vertical="center"/>
    </xf>
    <xf numFmtId="3" fontId="23" fillId="0" borderId="13" xfId="26" applyNumberFormat="1" applyFont="1" applyBorder="1" applyAlignment="1">
      <alignment horizontal="center" vertical="center"/>
    </xf>
    <xf numFmtId="3" fontId="23" fillId="0" borderId="27" xfId="26" applyNumberFormat="1" applyFont="1" applyBorder="1" applyAlignment="1">
      <alignment horizontal="center" vertical="center"/>
    </xf>
    <xf numFmtId="166" fontId="22" fillId="0" borderId="13" xfId="27" applyNumberFormat="1" applyFont="1" applyBorder="1" applyAlignment="1">
      <alignment horizontal="center" vertical="center"/>
    </xf>
    <xf numFmtId="166" fontId="22" fillId="0" borderId="27" xfId="27" applyNumberFormat="1" applyFont="1" applyBorder="1" applyAlignment="1">
      <alignment horizontal="center" vertical="center"/>
    </xf>
    <xf numFmtId="4" fontId="22" fillId="0" borderId="22" xfId="26" applyNumberFormat="1" applyFont="1" applyBorder="1" applyAlignment="1">
      <alignment horizontal="center" vertical="center"/>
    </xf>
    <xf numFmtId="4" fontId="22" fillId="0" borderId="11" xfId="26" applyNumberFormat="1" applyFont="1" applyBorder="1" applyAlignment="1">
      <alignment horizontal="center" vertical="center"/>
    </xf>
    <xf numFmtId="3" fontId="22" fillId="0" borderId="13" xfId="26" applyNumberFormat="1" applyFont="1" applyBorder="1" applyAlignment="1">
      <alignment horizontal="center" vertical="center"/>
    </xf>
    <xf numFmtId="3" fontId="22" fillId="0" borderId="14" xfId="26" applyNumberFormat="1" applyFont="1" applyBorder="1" applyAlignment="1">
      <alignment horizontal="center" vertical="center"/>
    </xf>
    <xf numFmtId="3" fontId="22" fillId="0" borderId="24" xfId="26" applyNumberFormat="1" applyFont="1" applyBorder="1" applyAlignment="1">
      <alignment horizontal="center" vertical="center"/>
    </xf>
    <xf numFmtId="3" fontId="23" fillId="0" borderId="22" xfId="26" applyNumberFormat="1" applyFont="1" applyBorder="1" applyAlignment="1">
      <alignment horizontal="center" vertical="center"/>
    </xf>
    <xf numFmtId="3" fontId="22" fillId="0" borderId="23" xfId="26" applyNumberFormat="1" applyFont="1" applyBorder="1" applyAlignment="1">
      <alignment horizontal="center" vertical="center"/>
    </xf>
    <xf numFmtId="3" fontId="23" fillId="0" borderId="24" xfId="26" applyNumberFormat="1" applyFont="1" applyBorder="1" applyAlignment="1">
      <alignment horizontal="center" vertical="center"/>
    </xf>
    <xf numFmtId="4" fontId="23" fillId="0" borderId="0" xfId="26" applyNumberFormat="1" applyFont="1" applyAlignment="1">
      <alignment horizontal="center" vertical="center"/>
    </xf>
    <xf numFmtId="4" fontId="23" fillId="0" borderId="24" xfId="26" applyNumberFormat="1" applyFont="1" applyBorder="1" applyAlignment="1">
      <alignment horizontal="center" vertical="center"/>
    </xf>
    <xf numFmtId="4" fontId="22" fillId="0" borderId="19" xfId="26" applyNumberFormat="1" applyFont="1" applyBorder="1" applyAlignment="1">
      <alignment horizontal="center" vertical="center"/>
    </xf>
    <xf numFmtId="4" fontId="22" fillId="0" borderId="20" xfId="26" applyNumberFormat="1" applyFont="1" applyBorder="1" applyAlignment="1">
      <alignment horizontal="center" vertical="center"/>
    </xf>
    <xf numFmtId="0" fontId="13" fillId="0" borderId="0" xfId="8" applyFont="1"/>
    <xf numFmtId="0" fontId="16" fillId="0" borderId="0" xfId="8" applyFont="1"/>
    <xf numFmtId="4" fontId="18" fillId="0" borderId="6" xfId="3" applyNumberFormat="1" applyFont="1" applyBorder="1" applyAlignment="1">
      <alignment horizontal="center"/>
    </xf>
    <xf numFmtId="4" fontId="17" fillId="0" borderId="6" xfId="3" applyNumberFormat="1" applyFont="1" applyBorder="1" applyAlignment="1">
      <alignment horizontal="center"/>
    </xf>
    <xf numFmtId="166" fontId="17" fillId="0" borderId="6" xfId="1" applyNumberFormat="1" applyFont="1" applyBorder="1" applyAlignment="1">
      <alignment horizontal="center"/>
    </xf>
    <xf numFmtId="10" fontId="17" fillId="0" borderId="0" xfId="9" applyNumberFormat="1" applyFont="1"/>
    <xf numFmtId="0" fontId="13" fillId="0" borderId="6" xfId="8" applyFont="1" applyBorder="1"/>
    <xf numFmtId="0" fontId="16" fillId="0" borderId="6" xfId="8" applyFont="1" applyBorder="1"/>
    <xf numFmtId="166" fontId="16" fillId="0" borderId="6" xfId="8" applyNumberFormat="1" applyFont="1" applyBorder="1" applyAlignment="1">
      <alignment horizontal="center"/>
    </xf>
    <xf numFmtId="0" fontId="13" fillId="0" borderId="6" xfId="8" applyFont="1" applyBorder="1" applyAlignment="1">
      <alignment vertical="center"/>
    </xf>
    <xf numFmtId="0" fontId="16" fillId="0" borderId="6" xfId="8" applyFont="1" applyBorder="1" applyAlignment="1">
      <alignment vertical="center"/>
    </xf>
    <xf numFmtId="0" fontId="16" fillId="0" borderId="0" xfId="8" applyFont="1" applyAlignment="1">
      <alignment horizontal="left" vertical="center"/>
    </xf>
    <xf numFmtId="0" fontId="13" fillId="0" borderId="0" xfId="8" applyFont="1" applyAlignment="1">
      <alignment horizontal="center" vertical="center"/>
    </xf>
    <xf numFmtId="0" fontId="16" fillId="0" borderId="0" xfId="8" applyFont="1" applyAlignment="1">
      <alignment horizontal="center" vertical="center"/>
    </xf>
    <xf numFmtId="9" fontId="25" fillId="0" borderId="0" xfId="9" applyFont="1" applyFill="1" applyAlignment="1">
      <alignment horizontal="center" vertical="center"/>
    </xf>
    <xf numFmtId="0" fontId="13" fillId="0" borderId="0" xfId="8" applyFont="1" applyAlignment="1">
      <alignment horizontal="left" vertical="center"/>
    </xf>
    <xf numFmtId="4" fontId="16" fillId="0" borderId="0" xfId="10" applyNumberFormat="1" applyFont="1" applyAlignment="1">
      <alignment horizontal="center" vertical="center"/>
    </xf>
    <xf numFmtId="4" fontId="16" fillId="0" borderId="0" xfId="8" applyNumberFormat="1" applyFont="1" applyAlignment="1">
      <alignment horizontal="center" vertical="center"/>
    </xf>
    <xf numFmtId="4" fontId="13" fillId="0" borderId="0" xfId="8" applyNumberFormat="1" applyFont="1" applyAlignment="1">
      <alignment horizontal="center" vertical="center"/>
    </xf>
    <xf numFmtId="4" fontId="16" fillId="0" borderId="0" xfId="9" applyNumberFormat="1" applyFont="1" applyAlignment="1">
      <alignment horizontal="center" vertical="center"/>
    </xf>
    <xf numFmtId="9" fontId="13" fillId="0" borderId="0" xfId="8" applyNumberFormat="1" applyFont="1" applyAlignment="1">
      <alignment horizontal="center" vertical="center"/>
    </xf>
    <xf numFmtId="4" fontId="16" fillId="0" borderId="6" xfId="8" applyNumberFormat="1" applyFont="1" applyBorder="1" applyAlignment="1">
      <alignment horizontal="center" vertical="center"/>
    </xf>
    <xf numFmtId="9" fontId="16" fillId="0" borderId="6" xfId="1" applyFont="1" applyBorder="1" applyAlignment="1">
      <alignment horizontal="center" vertical="center"/>
    </xf>
    <xf numFmtId="9" fontId="28" fillId="0" borderId="6" xfId="1" applyFont="1" applyBorder="1" applyAlignment="1">
      <alignment horizontal="center" vertical="center"/>
    </xf>
    <xf numFmtId="4" fontId="17" fillId="0" borderId="6" xfId="10" applyNumberFormat="1" applyFont="1" applyFill="1" applyBorder="1" applyAlignment="1">
      <alignment horizontal="center" vertical="center"/>
    </xf>
    <xf numFmtId="4" fontId="17" fillId="0" borderId="6" xfId="3" applyNumberFormat="1" applyFont="1" applyBorder="1" applyAlignment="1">
      <alignment horizontal="center" vertical="center"/>
    </xf>
    <xf numFmtId="166" fontId="17" fillId="0" borderId="6" xfId="1" applyNumberFormat="1" applyFont="1" applyFill="1" applyBorder="1" applyAlignment="1">
      <alignment horizontal="center" vertical="center"/>
    </xf>
    <xf numFmtId="4" fontId="17" fillId="0" borderId="6" xfId="9" applyNumberFormat="1" applyFont="1" applyFill="1" applyBorder="1" applyAlignment="1">
      <alignment horizontal="center" vertical="center"/>
    </xf>
    <xf numFmtId="0" fontId="13" fillId="0" borderId="0" xfId="21" applyFont="1"/>
    <xf numFmtId="0" fontId="16" fillId="0" borderId="0" xfId="21" applyFont="1" applyAlignment="1">
      <alignment horizontal="center"/>
    </xf>
    <xf numFmtId="14" fontId="20" fillId="0" borderId="0" xfId="21" applyNumberFormat="1" applyFont="1" applyAlignment="1">
      <alignment horizontal="center"/>
    </xf>
    <xf numFmtId="0" fontId="26" fillId="0" borderId="0" xfId="21" applyFont="1"/>
    <xf numFmtId="0" fontId="31" fillId="0" borderId="0" xfId="21" applyFont="1"/>
    <xf numFmtId="0" fontId="32" fillId="0" borderId="0" xfId="21" applyFont="1"/>
    <xf numFmtId="14" fontId="33" fillId="0" borderId="0" xfId="21" applyNumberFormat="1" applyFont="1" applyAlignment="1">
      <alignment horizontal="center"/>
    </xf>
    <xf numFmtId="0" fontId="32" fillId="0" borderId="0" xfId="21" applyFont="1" applyAlignment="1">
      <alignment horizontal="left"/>
    </xf>
    <xf numFmtId="0" fontId="34" fillId="0" borderId="0" xfId="21" applyFont="1"/>
    <xf numFmtId="0" fontId="32" fillId="0" borderId="0" xfId="21" applyFont="1" applyAlignment="1">
      <alignment horizontal="center"/>
    </xf>
    <xf numFmtId="169" fontId="13" fillId="0" borderId="0" xfId="21" applyNumberFormat="1" applyFont="1"/>
    <xf numFmtId="10" fontId="13" fillId="5" borderId="0" xfId="21" applyNumberFormat="1" applyFont="1" applyFill="1" applyAlignment="1">
      <alignment horizontal="center"/>
    </xf>
    <xf numFmtId="0" fontId="13" fillId="0" borderId="0" xfId="21" applyFont="1" applyAlignment="1">
      <alignment horizontal="left" vertical="justify"/>
    </xf>
    <xf numFmtId="166" fontId="16" fillId="5" borderId="0" xfId="28" applyNumberFormat="1" applyFont="1" applyFill="1" applyBorder="1" applyAlignment="1">
      <alignment horizontal="center"/>
    </xf>
    <xf numFmtId="0" fontId="30" fillId="0" borderId="0" xfId="21" applyFont="1"/>
    <xf numFmtId="0" fontId="16" fillId="0" borderId="0" xfId="21" applyFont="1"/>
    <xf numFmtId="166" fontId="16" fillId="0" borderId="0" xfId="29" applyNumberFormat="1" applyFont="1" applyFill="1" applyBorder="1" applyAlignment="1">
      <alignment horizontal="center"/>
    </xf>
    <xf numFmtId="166" fontId="13" fillId="0" borderId="0" xfId="29" applyNumberFormat="1" applyFont="1" applyFill="1"/>
    <xf numFmtId="0" fontId="35" fillId="0" borderId="0" xfId="21" applyFont="1"/>
    <xf numFmtId="166" fontId="27" fillId="4" borderId="0" xfId="24" applyNumberFormat="1" applyFont="1" applyFill="1" applyBorder="1" applyAlignment="1">
      <alignment horizontal="center" vertical="center" wrapText="1"/>
    </xf>
    <xf numFmtId="166" fontId="36" fillId="0" borderId="0" xfId="29" applyNumberFormat="1" applyFont="1" applyFill="1"/>
    <xf numFmtId="0" fontId="36" fillId="0" borderId="0" xfId="21" applyFont="1"/>
    <xf numFmtId="166" fontId="16" fillId="0" borderId="0" xfId="29" applyNumberFormat="1" applyFont="1" applyFill="1"/>
    <xf numFmtId="166" fontId="13" fillId="0" borderId="0" xfId="28" applyNumberFormat="1" applyFont="1" applyFill="1" applyBorder="1" applyAlignment="1">
      <alignment horizontal="center"/>
    </xf>
    <xf numFmtId="166" fontId="13" fillId="0" borderId="0" xfId="28" applyNumberFormat="1" applyFont="1" applyFill="1"/>
    <xf numFmtId="0" fontId="29" fillId="0" borderId="0" xfId="21" applyFont="1"/>
    <xf numFmtId="166" fontId="32" fillId="0" borderId="0" xfId="29" applyNumberFormat="1" applyFont="1" applyFill="1" applyBorder="1" applyAlignment="1">
      <alignment horizontal="center"/>
    </xf>
    <xf numFmtId="166" fontId="32" fillId="0" borderId="0" xfId="29" applyNumberFormat="1" applyFont="1" applyFill="1"/>
    <xf numFmtId="2" fontId="13" fillId="5" borderId="0" xfId="17" applyNumberFormat="1" applyFont="1" applyFill="1" applyBorder="1" applyAlignment="1">
      <alignment horizontal="center" vertical="center"/>
    </xf>
    <xf numFmtId="170" fontId="32" fillId="0" borderId="0" xfId="28" applyFont="1" applyFill="1"/>
    <xf numFmtId="2" fontId="13" fillId="0" borderId="0" xfId="17" applyNumberFormat="1" applyFont="1" applyFill="1" applyBorder="1" applyAlignment="1">
      <alignment horizontal="center" vertical="center"/>
    </xf>
    <xf numFmtId="170" fontId="13" fillId="0" borderId="0" xfId="28" applyFont="1" applyFill="1" applyAlignment="1">
      <alignment horizontal="left" vertical="justify"/>
    </xf>
    <xf numFmtId="166" fontId="13" fillId="0" borderId="0" xfId="21" applyNumberFormat="1" applyFont="1" applyAlignment="1">
      <alignment horizontal="left" vertical="justify"/>
    </xf>
    <xf numFmtId="166" fontId="32" fillId="0" borderId="0" xfId="21" applyNumberFormat="1" applyFont="1" applyAlignment="1">
      <alignment horizontal="right"/>
    </xf>
    <xf numFmtId="10" fontId="16" fillId="0" borderId="0" xfId="21" applyNumberFormat="1" applyFont="1" applyAlignment="1">
      <alignment horizontal="center"/>
    </xf>
    <xf numFmtId="166" fontId="16" fillId="0" borderId="0" xfId="21" applyNumberFormat="1" applyFont="1" applyAlignment="1">
      <alignment horizontal="right"/>
    </xf>
    <xf numFmtId="166" fontId="29" fillId="0" borderId="0" xfId="21" applyNumberFormat="1" applyFont="1" applyAlignment="1">
      <alignment horizontal="right"/>
    </xf>
    <xf numFmtId="166" fontId="16" fillId="0" borderId="0" xfId="21" applyNumberFormat="1" applyFont="1" applyAlignment="1">
      <alignment horizontal="center"/>
    </xf>
    <xf numFmtId="10" fontId="29" fillId="0" borderId="0" xfId="21" applyNumberFormat="1" applyFont="1" applyAlignment="1">
      <alignment horizontal="center"/>
    </xf>
    <xf numFmtId="10" fontId="32" fillId="0" borderId="0" xfId="21" applyNumberFormat="1" applyFont="1" applyAlignment="1">
      <alignment horizontal="center"/>
    </xf>
    <xf numFmtId="166" fontId="36" fillId="0" borderId="0" xfId="21" applyNumberFormat="1" applyFont="1" applyAlignment="1">
      <alignment horizontal="right"/>
    </xf>
    <xf numFmtId="166" fontId="37" fillId="0" borderId="0" xfId="21" applyNumberFormat="1" applyFont="1" applyAlignment="1">
      <alignment horizontal="center"/>
    </xf>
    <xf numFmtId="166" fontId="37" fillId="0" borderId="0" xfId="29" applyNumberFormat="1" applyFont="1" applyFill="1"/>
    <xf numFmtId="0" fontId="37" fillId="0" borderId="0" xfId="21" applyFont="1"/>
    <xf numFmtId="0" fontId="38" fillId="0" borderId="0" xfId="21" applyFont="1"/>
    <xf numFmtId="0" fontId="38" fillId="0" borderId="0" xfId="21" applyFont="1" applyAlignment="1">
      <alignment horizontal="center"/>
    </xf>
    <xf numFmtId="169" fontId="38" fillId="0" borderId="0" xfId="21" applyNumberFormat="1" applyFont="1"/>
    <xf numFmtId="166" fontId="27" fillId="0" borderId="0" xfId="24" applyNumberFormat="1" applyFont="1" applyFill="1" applyBorder="1" applyAlignment="1">
      <alignment horizontal="center" vertical="center" wrapText="1"/>
    </xf>
    <xf numFmtId="166" fontId="39" fillId="0" borderId="0" xfId="21" applyNumberFormat="1" applyFont="1" applyAlignment="1">
      <alignment horizontal="right"/>
    </xf>
    <xf numFmtId="0" fontId="39" fillId="0" borderId="0" xfId="21" applyFont="1"/>
    <xf numFmtId="166" fontId="13" fillId="0" borderId="0" xfId="21" applyNumberFormat="1" applyFont="1" applyAlignment="1">
      <alignment horizontal="center"/>
    </xf>
    <xf numFmtId="166" fontId="32" fillId="0" borderId="0" xfId="21" applyNumberFormat="1" applyFont="1" applyAlignment="1">
      <alignment horizontal="left" vertical="justify"/>
    </xf>
    <xf numFmtId="0" fontId="13" fillId="0" borderId="0" xfId="21" applyFont="1" applyAlignment="1">
      <alignment horizontal="center"/>
    </xf>
    <xf numFmtId="0" fontId="13" fillId="0" borderId="0" xfId="21" applyFont="1" applyAlignment="1">
      <alignment horizontal="left"/>
    </xf>
    <xf numFmtId="0" fontId="17" fillId="0" borderId="0" xfId="11" applyFont="1"/>
    <xf numFmtId="0" fontId="18" fillId="0" borderId="0" xfId="11" applyFont="1"/>
    <xf numFmtId="0" fontId="40" fillId="0" borderId="0" xfId="11" applyFont="1"/>
    <xf numFmtId="0" fontId="18" fillId="0" borderId="0" xfId="11" applyFont="1" applyAlignment="1">
      <alignment horizontal="center"/>
    </xf>
    <xf numFmtId="0" fontId="17" fillId="0" borderId="0" xfId="11" applyFont="1" applyAlignment="1">
      <alignment horizontal="center"/>
    </xf>
    <xf numFmtId="166" fontId="18" fillId="0" borderId="0" xfId="11" applyNumberFormat="1" applyFont="1" applyAlignment="1">
      <alignment horizontal="center"/>
    </xf>
    <xf numFmtId="166" fontId="17" fillId="0" borderId="0" xfId="11" applyNumberFormat="1" applyFont="1" applyAlignment="1">
      <alignment horizontal="center"/>
    </xf>
    <xf numFmtId="4" fontId="17" fillId="0" borderId="0" xfId="11" applyNumberFormat="1" applyFont="1" applyAlignment="1">
      <alignment horizontal="center"/>
    </xf>
    <xf numFmtId="3" fontId="18" fillId="0" borderId="0" xfId="11" applyNumberFormat="1" applyFont="1" applyAlignment="1">
      <alignment horizontal="center"/>
    </xf>
    <xf numFmtId="3" fontId="17" fillId="0" borderId="0" xfId="11" applyNumberFormat="1" applyFont="1" applyAlignment="1">
      <alignment horizontal="center"/>
    </xf>
    <xf numFmtId="3" fontId="40" fillId="0" borderId="0" xfId="12" applyNumberFormat="1" applyFont="1" applyFill="1" applyBorder="1" applyAlignment="1">
      <alignment horizontal="center"/>
    </xf>
    <xf numFmtId="3" fontId="17" fillId="0" borderId="0" xfId="13" applyNumberFormat="1" applyFont="1" applyFill="1" applyBorder="1" applyAlignment="1">
      <alignment horizontal="center"/>
    </xf>
    <xf numFmtId="166" fontId="18" fillId="0" borderId="0" xfId="1" applyNumberFormat="1" applyFont="1" applyAlignment="1">
      <alignment horizontal="center"/>
    </xf>
    <xf numFmtId="166" fontId="17" fillId="0" borderId="0" xfId="1" applyNumberFormat="1" applyFont="1" applyAlignment="1">
      <alignment horizontal="center"/>
    </xf>
    <xf numFmtId="3" fontId="18" fillId="0" borderId="6" xfId="11" applyNumberFormat="1" applyFont="1" applyBorder="1" applyAlignment="1">
      <alignment horizontal="center"/>
    </xf>
    <xf numFmtId="3" fontId="18" fillId="0" borderId="6" xfId="13" applyNumberFormat="1" applyFont="1" applyFill="1" applyBorder="1" applyAlignment="1">
      <alignment horizontal="center"/>
    </xf>
    <xf numFmtId="3" fontId="17" fillId="0" borderId="6" xfId="13" applyNumberFormat="1" applyFont="1" applyFill="1" applyBorder="1" applyAlignment="1">
      <alignment horizontal="center"/>
    </xf>
    <xf numFmtId="166" fontId="41" fillId="0" borderId="6" xfId="1" applyNumberFormat="1" applyFont="1" applyFill="1" applyBorder="1" applyAlignment="1">
      <alignment horizontal="center"/>
    </xf>
    <xf numFmtId="3" fontId="42" fillId="0" borderId="0" xfId="11" applyNumberFormat="1" applyFont="1" applyAlignment="1">
      <alignment horizontal="center"/>
    </xf>
    <xf numFmtId="166" fontId="42" fillId="0" borderId="0" xfId="1" applyNumberFormat="1" applyFont="1" applyFill="1" applyBorder="1" applyAlignment="1">
      <alignment horizontal="center"/>
    </xf>
    <xf numFmtId="3" fontId="17" fillId="0" borderId="0" xfId="11" applyNumberFormat="1" applyFont="1"/>
    <xf numFmtId="175" fontId="17" fillId="0" borderId="0" xfId="3" applyNumberFormat="1" applyFont="1" applyBorder="1" applyAlignment="1">
      <alignment horizontal="center"/>
    </xf>
    <xf numFmtId="0" fontId="17" fillId="0" borderId="0" xfId="0" applyFont="1"/>
    <xf numFmtId="166" fontId="42" fillId="0" borderId="0" xfId="1" applyNumberFormat="1" applyFont="1" applyBorder="1" applyAlignment="1">
      <alignment horizontal="center"/>
    </xf>
    <xf numFmtId="0" fontId="18" fillId="0" borderId="6" xfId="11" applyFont="1" applyBorder="1"/>
    <xf numFmtId="0" fontId="40" fillId="0" borderId="6" xfId="11" applyFont="1" applyBorder="1" applyAlignment="1">
      <alignment horizontal="left" indent="1"/>
    </xf>
    <xf numFmtId="3" fontId="17" fillId="0" borderId="6" xfId="3" applyNumberFormat="1" applyFont="1" applyBorder="1" applyAlignment="1">
      <alignment horizontal="center"/>
    </xf>
    <xf numFmtId="0" fontId="16" fillId="0" borderId="6" xfId="11" applyFont="1" applyBorder="1"/>
    <xf numFmtId="3" fontId="18" fillId="0" borderId="6" xfId="3" applyNumberFormat="1" applyFont="1" applyBorder="1" applyAlignment="1">
      <alignment horizontal="center"/>
    </xf>
    <xf numFmtId="0" fontId="18" fillId="0" borderId="3" xfId="11" applyFont="1" applyBorder="1"/>
    <xf numFmtId="0" fontId="40" fillId="0" borderId="3" xfId="11" applyFont="1" applyBorder="1" applyAlignment="1">
      <alignment horizontal="left" indent="1"/>
    </xf>
    <xf numFmtId="0" fontId="16" fillId="0" borderId="3" xfId="11" applyFont="1" applyBorder="1"/>
    <xf numFmtId="0" fontId="17" fillId="0" borderId="3" xfId="0" applyFont="1" applyBorder="1"/>
    <xf numFmtId="3" fontId="17" fillId="0" borderId="6" xfId="11" applyNumberFormat="1" applyFont="1" applyBorder="1" applyAlignment="1">
      <alignment horizontal="center"/>
    </xf>
    <xf numFmtId="1" fontId="18" fillId="0" borderId="0" xfId="11" applyNumberFormat="1" applyFont="1" applyAlignment="1">
      <alignment horizontal="center"/>
    </xf>
    <xf numFmtId="0" fontId="17" fillId="0" borderId="6" xfId="11" applyFont="1" applyBorder="1"/>
    <xf numFmtId="1" fontId="17" fillId="0" borderId="6" xfId="11" applyNumberFormat="1" applyFont="1" applyBorder="1" applyAlignment="1">
      <alignment horizontal="center"/>
    </xf>
    <xf numFmtId="0" fontId="17" fillId="0" borderId="6" xfId="11" applyFont="1" applyBorder="1" applyAlignment="1">
      <alignment horizontal="center"/>
    </xf>
    <xf numFmtId="1" fontId="18" fillId="0" borderId="6" xfId="11" applyNumberFormat="1" applyFont="1" applyBorder="1" applyAlignment="1">
      <alignment horizontal="center"/>
    </xf>
    <xf numFmtId="166" fontId="18" fillId="0" borderId="6" xfId="1" applyNumberFormat="1" applyFont="1" applyBorder="1" applyAlignment="1">
      <alignment horizontal="center"/>
    </xf>
    <xf numFmtId="1" fontId="17" fillId="0" borderId="0" xfId="11" applyNumberFormat="1" applyFont="1" applyAlignment="1">
      <alignment horizontal="center"/>
    </xf>
    <xf numFmtId="166" fontId="18" fillId="0" borderId="0" xfId="1" applyNumberFormat="1" applyFont="1" applyBorder="1" applyAlignment="1">
      <alignment horizontal="center"/>
    </xf>
    <xf numFmtId="9" fontId="17" fillId="0" borderId="0" xfId="11" applyNumberFormat="1" applyFont="1" applyAlignment="1">
      <alignment horizontal="center"/>
    </xf>
    <xf numFmtId="166" fontId="17" fillId="0" borderId="6" xfId="11" applyNumberFormat="1" applyFont="1" applyBorder="1" applyAlignment="1">
      <alignment horizontal="center"/>
    </xf>
    <xf numFmtId="9" fontId="17" fillId="0" borderId="6" xfId="11" applyNumberFormat="1" applyFont="1" applyBorder="1" applyAlignment="1">
      <alignment horizontal="center"/>
    </xf>
    <xf numFmtId="166" fontId="18" fillId="0" borderId="6" xfId="11" applyNumberFormat="1" applyFont="1" applyBorder="1" applyAlignment="1">
      <alignment horizontal="center"/>
    </xf>
    <xf numFmtId="4" fontId="17" fillId="0" borderId="6" xfId="11" applyNumberFormat="1" applyFont="1" applyBorder="1" applyAlignment="1">
      <alignment horizontal="center"/>
    </xf>
    <xf numFmtId="166" fontId="41" fillId="0" borderId="6" xfId="1" applyNumberFormat="1" applyFont="1" applyBorder="1"/>
    <xf numFmtId="9" fontId="17" fillId="0" borderId="0" xfId="14" applyFont="1" applyFill="1" applyAlignment="1">
      <alignment vertical="center"/>
    </xf>
    <xf numFmtId="165" fontId="17" fillId="0" borderId="0" xfId="3" applyNumberFormat="1" applyFont="1" applyFill="1" applyAlignment="1">
      <alignment vertical="center"/>
    </xf>
    <xf numFmtId="0" fontId="18" fillId="0" borderId="0" xfId="21" applyFont="1" applyAlignment="1">
      <alignment vertical="center"/>
    </xf>
    <xf numFmtId="0" fontId="17" fillId="0" borderId="0" xfId="21" applyFont="1" applyAlignment="1">
      <alignment horizontal="center" vertical="center"/>
    </xf>
    <xf numFmtId="0" fontId="17" fillId="0" borderId="0" xfId="21" applyFont="1" applyAlignment="1">
      <alignment vertical="center"/>
    </xf>
    <xf numFmtId="0" fontId="18" fillId="0" borderId="0" xfId="21" applyFont="1" applyAlignment="1">
      <alignment horizontal="center" vertical="center"/>
    </xf>
    <xf numFmtId="0" fontId="18" fillId="0" borderId="6" xfId="21" applyFont="1" applyBorder="1" applyAlignment="1">
      <alignment vertical="center"/>
    </xf>
    <xf numFmtId="0" fontId="18" fillId="0" borderId="6" xfId="21" applyFont="1" applyBorder="1" applyAlignment="1">
      <alignment horizontal="center" vertical="center"/>
    </xf>
    <xf numFmtId="10" fontId="17" fillId="0" borderId="0" xfId="21" applyNumberFormat="1" applyFont="1" applyAlignment="1">
      <alignment vertical="center"/>
    </xf>
    <xf numFmtId="0" fontId="17" fillId="0" borderId="6" xfId="21" applyFont="1" applyBorder="1" applyAlignment="1">
      <alignment vertical="center"/>
    </xf>
    <xf numFmtId="0" fontId="17" fillId="0" borderId="6" xfId="21" applyFont="1" applyBorder="1" applyAlignment="1">
      <alignment horizontal="center" vertical="center"/>
    </xf>
    <xf numFmtId="4" fontId="18" fillId="0" borderId="0" xfId="3" applyNumberFormat="1" applyFont="1" applyFill="1" applyBorder="1" applyAlignment="1">
      <alignment horizontal="center" vertical="center"/>
    </xf>
    <xf numFmtId="4" fontId="17" fillId="0" borderId="0" xfId="3" applyNumberFormat="1" applyFont="1" applyFill="1" applyBorder="1" applyAlignment="1">
      <alignment horizontal="center" vertical="center"/>
    </xf>
    <xf numFmtId="10" fontId="40" fillId="0" borderId="0" xfId="21" applyNumberFormat="1" applyFont="1" applyAlignment="1">
      <alignment vertical="center"/>
    </xf>
    <xf numFmtId="0" fontId="40" fillId="0" borderId="0" xfId="21" applyFont="1" applyAlignment="1">
      <alignment vertical="center"/>
    </xf>
    <xf numFmtId="9" fontId="17" fillId="0" borderId="0" xfId="21" applyNumberFormat="1" applyFont="1" applyAlignment="1">
      <alignment vertical="center"/>
    </xf>
    <xf numFmtId="172" fontId="17" fillId="0" borderId="0" xfId="22" applyNumberFormat="1" applyFont="1" applyFill="1" applyAlignment="1">
      <alignment vertical="center"/>
    </xf>
    <xf numFmtId="43" fontId="17" fillId="0" borderId="0" xfId="22" applyFont="1" applyFill="1" applyAlignment="1">
      <alignment vertical="center"/>
    </xf>
    <xf numFmtId="165" fontId="17" fillId="0" borderId="0" xfId="3" applyNumberFormat="1" applyFont="1" applyFill="1" applyBorder="1" applyAlignment="1">
      <alignment horizontal="center" vertical="center"/>
    </xf>
    <xf numFmtId="165" fontId="18" fillId="0" borderId="0" xfId="3" applyNumberFormat="1" applyFont="1" applyFill="1" applyBorder="1" applyAlignment="1">
      <alignment horizontal="center" vertical="center"/>
    </xf>
    <xf numFmtId="166" fontId="17" fillId="0" borderId="0" xfId="14" applyNumberFormat="1" applyFont="1" applyFill="1" applyBorder="1" applyAlignment="1">
      <alignment horizontal="center" vertical="center"/>
    </xf>
    <xf numFmtId="9" fontId="17" fillId="0" borderId="0" xfId="23" applyFont="1" applyFill="1" applyBorder="1" applyAlignment="1">
      <alignment horizontal="center" vertical="center"/>
    </xf>
    <xf numFmtId="172" fontId="18" fillId="0" borderId="0" xfId="22" applyNumberFormat="1" applyFont="1" applyFill="1" applyBorder="1" applyAlignment="1">
      <alignment horizontal="center" vertical="center"/>
    </xf>
    <xf numFmtId="0" fontId="43" fillId="0" borderId="0" xfId="21" applyFont="1" applyAlignment="1">
      <alignment vertical="center"/>
    </xf>
    <xf numFmtId="166" fontId="43" fillId="0" borderId="0" xfId="1" applyNumberFormat="1" applyFont="1" applyFill="1" applyBorder="1" applyAlignment="1">
      <alignment horizontal="center" vertical="center"/>
    </xf>
    <xf numFmtId="4" fontId="18" fillId="0" borderId="6" xfId="3" applyNumberFormat="1" applyFont="1" applyFill="1" applyBorder="1" applyAlignment="1">
      <alignment horizontal="center" vertical="center"/>
    </xf>
    <xf numFmtId="4" fontId="17" fillId="0" borderId="6" xfId="3" applyNumberFormat="1" applyFont="1" applyFill="1" applyBorder="1" applyAlignment="1">
      <alignment horizontal="center" vertical="center"/>
    </xf>
    <xf numFmtId="0" fontId="43" fillId="0" borderId="6" xfId="21" applyFont="1" applyBorder="1" applyAlignment="1">
      <alignment vertical="center"/>
    </xf>
    <xf numFmtId="166" fontId="43" fillId="0" borderId="6" xfId="1" applyNumberFormat="1" applyFont="1" applyFill="1" applyBorder="1" applyAlignment="1">
      <alignment horizontal="center" vertical="center"/>
    </xf>
    <xf numFmtId="165" fontId="18" fillId="0" borderId="6" xfId="3" applyNumberFormat="1" applyFont="1" applyFill="1" applyBorder="1" applyAlignment="1">
      <alignment horizontal="center" vertical="center"/>
    </xf>
    <xf numFmtId="165" fontId="17" fillId="0" borderId="6" xfId="3" applyNumberFormat="1" applyFont="1" applyFill="1" applyBorder="1" applyAlignment="1">
      <alignment horizontal="center" vertical="center"/>
    </xf>
    <xf numFmtId="165" fontId="16" fillId="0" borderId="6" xfId="3" applyNumberFormat="1" applyFont="1" applyFill="1" applyBorder="1" applyAlignment="1">
      <alignment horizontal="center" vertical="center"/>
    </xf>
    <xf numFmtId="166" fontId="18" fillId="0" borderId="6" xfId="14" applyNumberFormat="1" applyFont="1" applyFill="1" applyBorder="1" applyAlignment="1">
      <alignment horizontal="center" vertical="center"/>
    </xf>
    <xf numFmtId="166" fontId="17" fillId="0" borderId="6" xfId="14" applyNumberFormat="1" applyFont="1" applyFill="1" applyBorder="1" applyAlignment="1">
      <alignment horizontal="center" vertical="center"/>
    </xf>
    <xf numFmtId="177" fontId="17" fillId="0" borderId="0" xfId="31" applyNumberFormat="1" applyFont="1" applyBorder="1" applyAlignment="1">
      <alignment horizontal="center" vertical="center"/>
    </xf>
    <xf numFmtId="9" fontId="17" fillId="0" borderId="0" xfId="1" applyFont="1" applyBorder="1" applyAlignment="1">
      <alignment horizontal="center" vertical="center"/>
    </xf>
    <xf numFmtId="166" fontId="17" fillId="0" borderId="0" xfId="1" applyNumberFormat="1" applyFont="1" applyBorder="1" applyAlignment="1">
      <alignment horizontal="center" vertical="center"/>
    </xf>
    <xf numFmtId="177" fontId="18" fillId="0" borderId="0" xfId="31" applyNumberFormat="1" applyFont="1" applyBorder="1" applyAlignment="1">
      <alignment horizontal="center" vertical="center"/>
    </xf>
    <xf numFmtId="166" fontId="18" fillId="0" borderId="0" xfId="1" applyNumberFormat="1" applyFont="1" applyBorder="1" applyAlignment="1">
      <alignment horizontal="center" vertical="center"/>
    </xf>
    <xf numFmtId="4" fontId="17" fillId="0" borderId="0" xfId="30" applyNumberFormat="1" applyFont="1" applyAlignment="1">
      <alignment horizontal="center" vertical="center"/>
    </xf>
    <xf numFmtId="4" fontId="17" fillId="0" borderId="0" xfId="30" applyNumberFormat="1" applyFont="1" applyAlignment="1">
      <alignment vertical="center"/>
    </xf>
    <xf numFmtId="0" fontId="18" fillId="0" borderId="0" xfId="30" applyFont="1" applyAlignment="1">
      <alignment vertical="center"/>
    </xf>
    <xf numFmtId="0" fontId="18" fillId="0" borderId="0" xfId="30" applyFont="1" applyAlignment="1">
      <alignment horizontal="center" vertical="center"/>
    </xf>
    <xf numFmtId="0" fontId="17" fillId="0" borderId="0" xfId="30" applyFont="1" applyAlignment="1">
      <alignment horizontal="center" vertical="center"/>
    </xf>
    <xf numFmtId="0" fontId="17" fillId="0" borderId="0" xfId="30" applyFont="1" applyAlignment="1">
      <alignment vertical="center"/>
    </xf>
    <xf numFmtId="177" fontId="17" fillId="0" borderId="0" xfId="30" applyNumberFormat="1" applyFont="1" applyAlignment="1">
      <alignment horizontal="center" vertical="center"/>
    </xf>
    <xf numFmtId="177" fontId="17" fillId="0" borderId="0" xfId="32" applyNumberFormat="1" applyFont="1" applyBorder="1" applyAlignment="1">
      <alignment horizontal="center" vertical="center"/>
    </xf>
    <xf numFmtId="9" fontId="17" fillId="0" borderId="0" xfId="30" applyNumberFormat="1" applyFont="1" applyAlignment="1">
      <alignment vertical="center"/>
    </xf>
    <xf numFmtId="0" fontId="18" fillId="0" borderId="6" xfId="30" applyFont="1" applyBorder="1" applyAlignment="1">
      <alignment horizontal="left" vertical="center" wrapText="1"/>
    </xf>
    <xf numFmtId="0" fontId="17" fillId="0" borderId="6" xfId="30" applyFont="1" applyBorder="1" applyAlignment="1">
      <alignment vertical="center"/>
    </xf>
    <xf numFmtId="177" fontId="17" fillId="0" borderId="6" xfId="31" applyNumberFormat="1" applyFont="1" applyBorder="1" applyAlignment="1">
      <alignment horizontal="center" vertical="center"/>
    </xf>
    <xf numFmtId="166" fontId="17" fillId="0" borderId="6" xfId="1" applyNumberFormat="1" applyFont="1" applyBorder="1" applyAlignment="1">
      <alignment horizontal="center" vertical="center"/>
    </xf>
    <xf numFmtId="0" fontId="18" fillId="0" borderId="6" xfId="30" applyFont="1" applyBorder="1" applyAlignment="1">
      <alignment vertical="center"/>
    </xf>
    <xf numFmtId="177" fontId="18" fillId="0" borderId="6" xfId="31" applyNumberFormat="1" applyFont="1" applyBorder="1" applyAlignment="1">
      <alignment horizontal="center" vertical="center"/>
    </xf>
    <xf numFmtId="166" fontId="18" fillId="0" borderId="6" xfId="1" applyNumberFormat="1" applyFont="1" applyBorder="1" applyAlignment="1">
      <alignment horizontal="center" vertical="center"/>
    </xf>
    <xf numFmtId="0" fontId="18" fillId="0" borderId="6" xfId="30" applyFont="1" applyBorder="1" applyAlignment="1">
      <alignment vertical="center" wrapText="1"/>
    </xf>
    <xf numFmtId="177" fontId="18" fillId="0" borderId="6" xfId="30" applyNumberFormat="1" applyFont="1" applyBorder="1" applyAlignment="1">
      <alignment horizontal="center" vertical="center"/>
    </xf>
    <xf numFmtId="177" fontId="18" fillId="0" borderId="17" xfId="30" applyNumberFormat="1" applyFont="1" applyBorder="1" applyAlignment="1">
      <alignment horizontal="center" vertical="center"/>
    </xf>
    <xf numFmtId="166" fontId="18" fillId="0" borderId="17" xfId="1" applyNumberFormat="1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3" fontId="18" fillId="0" borderId="0" xfId="30" applyNumberFormat="1" applyFont="1" applyAlignment="1">
      <alignment horizontal="center" vertical="center"/>
    </xf>
    <xf numFmtId="0" fontId="18" fillId="0" borderId="0" xfId="30" applyFont="1" applyAlignment="1">
      <alignment horizontal="left" vertical="center" wrapText="1"/>
    </xf>
    <xf numFmtId="177" fontId="27" fillId="0" borderId="0" xfId="31" applyNumberFormat="1" applyFont="1" applyFill="1" applyBorder="1" applyAlignment="1">
      <alignment horizontal="center" vertical="center"/>
    </xf>
    <xf numFmtId="177" fontId="27" fillId="0" borderId="0" xfId="30" applyNumberFormat="1" applyFont="1" applyAlignment="1">
      <alignment horizontal="center" vertical="center"/>
    </xf>
    <xf numFmtId="166" fontId="27" fillId="0" borderId="0" xfId="1" applyNumberFormat="1" applyFont="1" applyFill="1" applyBorder="1" applyAlignment="1">
      <alignment horizontal="center" vertical="center"/>
    </xf>
    <xf numFmtId="166" fontId="17" fillId="0" borderId="0" xfId="32" applyNumberFormat="1" applyFont="1" applyFill="1" applyBorder="1" applyAlignment="1">
      <alignment horizontal="center" vertical="center"/>
    </xf>
    <xf numFmtId="173" fontId="17" fillId="0" borderId="0" xfId="31" applyNumberFormat="1" applyFont="1" applyFill="1" applyBorder="1" applyAlignment="1">
      <alignment horizontal="center" vertical="center"/>
    </xf>
    <xf numFmtId="177" fontId="17" fillId="0" borderId="0" xfId="31" applyNumberFormat="1" applyFont="1" applyFill="1" applyBorder="1" applyAlignment="1">
      <alignment horizontal="center" vertical="center"/>
    </xf>
    <xf numFmtId="166" fontId="17" fillId="0" borderId="0" xfId="1" applyNumberFormat="1" applyFont="1" applyFill="1" applyBorder="1" applyAlignment="1">
      <alignment horizontal="center" vertical="center"/>
    </xf>
    <xf numFmtId="166" fontId="18" fillId="0" borderId="0" xfId="32" applyNumberFormat="1" applyFont="1" applyFill="1" applyBorder="1" applyAlignment="1">
      <alignment horizontal="center" vertical="center"/>
    </xf>
    <xf numFmtId="176" fontId="18" fillId="0" borderId="0" xfId="30" applyNumberFormat="1" applyFont="1" applyAlignment="1">
      <alignment horizontal="center" vertical="center"/>
    </xf>
    <xf numFmtId="9" fontId="17" fillId="0" borderId="0" xfId="32" applyFont="1" applyFill="1" applyBorder="1" applyAlignment="1">
      <alignment horizontal="center" vertical="center"/>
    </xf>
    <xf numFmtId="4" fontId="17" fillId="0" borderId="0" xfId="32" applyNumberFormat="1" applyFont="1" applyFill="1" applyBorder="1" applyAlignment="1">
      <alignment horizontal="center" vertical="center"/>
    </xf>
    <xf numFmtId="9" fontId="17" fillId="0" borderId="0" xfId="1" applyFont="1" applyFill="1" applyBorder="1" applyAlignment="1">
      <alignment horizontal="center" vertical="center"/>
    </xf>
    <xf numFmtId="9" fontId="18" fillId="0" borderId="0" xfId="1" applyFont="1" applyFill="1" applyBorder="1" applyAlignment="1">
      <alignment horizontal="center" vertical="center"/>
    </xf>
    <xf numFmtId="4" fontId="18" fillId="0" borderId="6" xfId="30" applyNumberFormat="1" applyFont="1" applyBorder="1" applyAlignment="1">
      <alignment horizontal="center" vertical="center"/>
    </xf>
    <xf numFmtId="0" fontId="18" fillId="0" borderId="6" xfId="30" applyFont="1" applyBorder="1" applyAlignment="1">
      <alignment horizontal="center" vertical="center"/>
    </xf>
    <xf numFmtId="166" fontId="18" fillId="0" borderId="6" xfId="1" applyNumberFormat="1" applyFont="1" applyFill="1" applyBorder="1" applyAlignment="1">
      <alignment horizontal="center" vertical="center"/>
    </xf>
    <xf numFmtId="0" fontId="16" fillId="0" borderId="17" xfId="30" applyFont="1" applyBorder="1" applyAlignment="1">
      <alignment horizontal="center" vertical="center"/>
    </xf>
    <xf numFmtId="9" fontId="16" fillId="0" borderId="17" xfId="1" applyFont="1" applyFill="1" applyBorder="1" applyAlignment="1">
      <alignment horizontal="center" vertical="center" wrapText="1" shrinkToFit="1"/>
    </xf>
    <xf numFmtId="3" fontId="18" fillId="0" borderId="17" xfId="30" applyNumberFormat="1" applyFont="1" applyBorder="1" applyAlignment="1">
      <alignment horizontal="center" vertical="center"/>
    </xf>
    <xf numFmtId="166" fontId="17" fillId="0" borderId="6" xfId="32" applyNumberFormat="1" applyFont="1" applyFill="1" applyBorder="1" applyAlignment="1">
      <alignment horizontal="center" vertical="center"/>
    </xf>
    <xf numFmtId="9" fontId="17" fillId="0" borderId="6" xfId="1" applyFont="1" applyFill="1" applyBorder="1" applyAlignment="1">
      <alignment horizontal="center" vertical="center"/>
    </xf>
    <xf numFmtId="173" fontId="17" fillId="0" borderId="6" xfId="31" applyNumberFormat="1" applyFont="1" applyFill="1" applyBorder="1" applyAlignment="1">
      <alignment horizontal="center" vertical="center"/>
    </xf>
    <xf numFmtId="177" fontId="17" fillId="0" borderId="6" xfId="31" applyNumberFormat="1" applyFont="1" applyFill="1" applyBorder="1" applyAlignment="1">
      <alignment horizontal="center" vertical="center"/>
    </xf>
    <xf numFmtId="166" fontId="18" fillId="0" borderId="6" xfId="32" applyNumberFormat="1" applyFont="1" applyFill="1" applyBorder="1" applyAlignment="1">
      <alignment horizontal="center" vertical="center"/>
    </xf>
    <xf numFmtId="9" fontId="18" fillId="0" borderId="6" xfId="1" applyFont="1" applyFill="1" applyBorder="1" applyAlignment="1">
      <alignment horizontal="center" vertical="center"/>
    </xf>
    <xf numFmtId="173" fontId="18" fillId="0" borderId="6" xfId="31" applyNumberFormat="1" applyFont="1" applyFill="1" applyBorder="1" applyAlignment="1">
      <alignment horizontal="center" vertical="center"/>
    </xf>
    <xf numFmtId="177" fontId="18" fillId="0" borderId="6" xfId="31" applyNumberFormat="1" applyFont="1" applyFill="1" applyBorder="1" applyAlignment="1">
      <alignment horizontal="center" vertical="center"/>
    </xf>
    <xf numFmtId="172" fontId="18" fillId="0" borderId="6" xfId="31" applyNumberFormat="1" applyFont="1" applyFill="1" applyBorder="1" applyAlignment="1">
      <alignment horizontal="center" vertical="center"/>
    </xf>
    <xf numFmtId="9" fontId="18" fillId="0" borderId="0" xfId="1" applyFont="1" applyBorder="1" applyAlignment="1">
      <alignment horizontal="center" vertical="center"/>
    </xf>
    <xf numFmtId="4" fontId="16" fillId="0" borderId="17" xfId="30" applyNumberFormat="1" applyFont="1" applyBorder="1" applyAlignment="1">
      <alignment horizontal="center" vertical="center"/>
    </xf>
    <xf numFmtId="3" fontId="18" fillId="0" borderId="6" xfId="31" applyNumberFormat="1" applyFont="1" applyFill="1" applyBorder="1" applyAlignment="1">
      <alignment horizontal="center" vertical="center"/>
    </xf>
    <xf numFmtId="3" fontId="18" fillId="0" borderId="6" xfId="32" applyNumberFormat="1" applyFont="1" applyFill="1" applyBorder="1" applyAlignment="1">
      <alignment horizontal="center" vertical="center"/>
    </xf>
    <xf numFmtId="3" fontId="18" fillId="0" borderId="0" xfId="31" applyNumberFormat="1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8" fillId="0" borderId="6" xfId="0" applyFont="1" applyBorder="1" applyAlignment="1">
      <alignment vertical="center"/>
    </xf>
    <xf numFmtId="38" fontId="17" fillId="0" borderId="6" xfId="2" applyNumberFormat="1" applyFont="1" applyBorder="1" applyAlignment="1">
      <alignment horizontal="center" vertical="center"/>
    </xf>
    <xf numFmtId="38" fontId="18" fillId="0" borderId="6" xfId="0" applyNumberFormat="1" applyFont="1" applyBorder="1" applyAlignment="1">
      <alignment horizontal="center" vertical="center"/>
    </xf>
    <xf numFmtId="0" fontId="17" fillId="0" borderId="6" xfId="0" applyFont="1" applyBorder="1" applyAlignment="1">
      <alignment vertical="center"/>
    </xf>
    <xf numFmtId="38" fontId="17" fillId="0" borderId="6" xfId="0" applyNumberFormat="1" applyFont="1" applyBorder="1" applyAlignment="1">
      <alignment horizontal="center" vertical="center"/>
    </xf>
    <xf numFmtId="38" fontId="18" fillId="0" borderId="6" xfId="2" applyNumberFormat="1" applyFont="1" applyBorder="1" applyAlignment="1">
      <alignment horizontal="center" vertical="center"/>
    </xf>
    <xf numFmtId="0" fontId="40" fillId="0" borderId="6" xfId="0" applyFont="1" applyBorder="1" applyAlignment="1">
      <alignment vertical="center"/>
    </xf>
    <xf numFmtId="38" fontId="17" fillId="0" borderId="0" xfId="2" applyNumberFormat="1" applyFont="1" applyAlignment="1">
      <alignment horizontal="center" vertical="center"/>
    </xf>
    <xf numFmtId="4" fontId="17" fillId="0" borderId="6" xfId="2" applyNumberFormat="1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10" fontId="17" fillId="0" borderId="6" xfId="1" applyNumberFormat="1" applyFont="1" applyBorder="1" applyAlignment="1">
      <alignment horizontal="center" vertical="center"/>
    </xf>
    <xf numFmtId="10" fontId="17" fillId="0" borderId="0" xfId="0" applyNumberFormat="1" applyFont="1" applyAlignment="1">
      <alignment vertical="center"/>
    </xf>
    <xf numFmtId="4" fontId="17" fillId="0" borderId="6" xfId="0" applyNumberFormat="1" applyFont="1" applyBorder="1" applyAlignment="1">
      <alignment horizontal="center" vertical="center"/>
    </xf>
    <xf numFmtId="172" fontId="17" fillId="0" borderId="0" xfId="2" applyNumberFormat="1" applyFont="1" applyAlignment="1">
      <alignment vertical="center"/>
    </xf>
    <xf numFmtId="10" fontId="17" fillId="0" borderId="0" xfId="0" applyNumberFormat="1" applyFont="1" applyAlignment="1">
      <alignment horizontal="center" vertical="center"/>
    </xf>
    <xf numFmtId="10" fontId="17" fillId="0" borderId="6" xfId="0" applyNumberFormat="1" applyFont="1" applyBorder="1" applyAlignment="1">
      <alignment horizontal="center" vertical="center"/>
    </xf>
    <xf numFmtId="4" fontId="17" fillId="0" borderId="0" xfId="0" applyNumberFormat="1" applyFont="1" applyAlignment="1">
      <alignment horizontal="center" vertical="center"/>
    </xf>
    <xf numFmtId="43" fontId="17" fillId="0" borderId="0" xfId="0" applyNumberFormat="1" applyFont="1" applyAlignment="1">
      <alignment horizontal="center" vertical="center"/>
    </xf>
    <xf numFmtId="4" fontId="18" fillId="0" borderId="6" xfId="0" applyNumberFormat="1" applyFont="1" applyBorder="1" applyAlignment="1">
      <alignment horizontal="center" vertical="center"/>
    </xf>
    <xf numFmtId="0" fontId="43" fillId="0" borderId="6" xfId="0" applyFont="1" applyBorder="1" applyAlignment="1">
      <alignment vertical="center"/>
    </xf>
    <xf numFmtId="166" fontId="43" fillId="0" borderId="6" xfId="1" applyNumberFormat="1" applyFont="1" applyBorder="1" applyAlignment="1">
      <alignment horizontal="center" vertical="center"/>
    </xf>
    <xf numFmtId="9" fontId="17" fillId="0" borderId="6" xfId="0" applyNumberFormat="1" applyFont="1" applyBorder="1" applyAlignment="1">
      <alignment horizontal="center" vertical="center"/>
    </xf>
    <xf numFmtId="0" fontId="40" fillId="0" borderId="6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9" fontId="17" fillId="0" borderId="0" xfId="0" applyNumberFormat="1" applyFont="1" applyAlignment="1">
      <alignment horizontal="center" vertical="center"/>
    </xf>
    <xf numFmtId="166" fontId="17" fillId="0" borderId="6" xfId="0" applyNumberFormat="1" applyFont="1" applyBorder="1" applyAlignment="1">
      <alignment horizontal="center" vertical="center"/>
    </xf>
    <xf numFmtId="10" fontId="18" fillId="0" borderId="6" xfId="0" applyNumberFormat="1" applyFont="1" applyBorder="1" applyAlignment="1">
      <alignment horizontal="center" vertical="center"/>
    </xf>
    <xf numFmtId="3" fontId="17" fillId="0" borderId="6" xfId="2" applyNumberFormat="1" applyFont="1" applyBorder="1" applyAlignment="1">
      <alignment horizontal="center" vertical="center"/>
    </xf>
    <xf numFmtId="4" fontId="18" fillId="0" borderId="6" xfId="2" applyNumberFormat="1" applyFont="1" applyBorder="1" applyAlignment="1">
      <alignment horizontal="center" vertical="center"/>
    </xf>
    <xf numFmtId="0" fontId="16" fillId="3" borderId="0" xfId="19" applyFont="1" applyFill="1" applyAlignment="1">
      <alignment vertical="center"/>
    </xf>
    <xf numFmtId="0" fontId="13" fillId="3" borderId="0" xfId="19" applyFont="1" applyFill="1" applyAlignment="1">
      <alignment vertical="center"/>
    </xf>
    <xf numFmtId="0" fontId="21" fillId="0" borderId="0" xfId="8" applyFont="1"/>
    <xf numFmtId="4" fontId="13" fillId="3" borderId="0" xfId="19" applyNumberFormat="1" applyFont="1" applyFill="1" applyAlignment="1">
      <alignment horizontal="center" vertical="center"/>
    </xf>
    <xf numFmtId="3" fontId="17" fillId="0" borderId="0" xfId="0" applyNumberFormat="1" applyFont="1" applyAlignment="1">
      <alignment horizontal="center" vertical="center"/>
    </xf>
    <xf numFmtId="3" fontId="17" fillId="0" borderId="0" xfId="3" applyNumberFormat="1" applyFont="1" applyAlignment="1">
      <alignment horizontal="center" vertical="center"/>
    </xf>
    <xf numFmtId="3" fontId="18" fillId="0" borderId="0" xfId="3" applyNumberFormat="1" applyFont="1" applyAlignment="1">
      <alignment horizontal="center" vertical="center"/>
    </xf>
    <xf numFmtId="3" fontId="13" fillId="3" borderId="0" xfId="19" applyNumberFormat="1" applyFont="1" applyFill="1" applyAlignment="1">
      <alignment horizontal="center" vertical="center"/>
    </xf>
    <xf numFmtId="3" fontId="16" fillId="3" borderId="0" xfId="19" applyNumberFormat="1" applyFont="1" applyFill="1" applyAlignment="1">
      <alignment horizontal="center" vertical="center"/>
    </xf>
    <xf numFmtId="4" fontId="16" fillId="3" borderId="0" xfId="19" applyNumberFormat="1" applyFont="1" applyFill="1" applyAlignment="1">
      <alignment horizontal="center" vertical="center"/>
    </xf>
    <xf numFmtId="3" fontId="18" fillId="0" borderId="0" xfId="0" applyNumberFormat="1" applyFont="1" applyAlignment="1">
      <alignment horizontal="center" vertical="center"/>
    </xf>
    <xf numFmtId="0" fontId="13" fillId="3" borderId="6" xfId="19" applyFont="1" applyFill="1" applyBorder="1" applyAlignment="1">
      <alignment vertical="center"/>
    </xf>
    <xf numFmtId="0" fontId="16" fillId="3" borderId="6" xfId="19" applyFont="1" applyFill="1" applyBorder="1" applyAlignment="1">
      <alignment vertical="center"/>
    </xf>
    <xf numFmtId="0" fontId="46" fillId="0" borderId="6" xfId="8" applyFont="1" applyBorder="1"/>
    <xf numFmtId="166" fontId="46" fillId="0" borderId="6" xfId="1" applyNumberFormat="1" applyFont="1" applyBorder="1" applyAlignment="1">
      <alignment horizontal="center"/>
    </xf>
    <xf numFmtId="4" fontId="18" fillId="0" borderId="0" xfId="0" applyNumberFormat="1" applyFont="1" applyAlignment="1">
      <alignment horizontal="center" vertical="center"/>
    </xf>
    <xf numFmtId="4" fontId="18" fillId="0" borderId="6" xfId="3" applyNumberFormat="1" applyFont="1" applyBorder="1" applyAlignment="1">
      <alignment horizontal="center" vertical="center"/>
    </xf>
    <xf numFmtId="4" fontId="13" fillId="3" borderId="6" xfId="19" applyNumberFormat="1" applyFont="1" applyFill="1" applyBorder="1" applyAlignment="1">
      <alignment horizontal="center" vertical="center"/>
    </xf>
    <xf numFmtId="4" fontId="16" fillId="3" borderId="6" xfId="19" applyNumberFormat="1" applyFont="1" applyFill="1" applyBorder="1" applyAlignment="1">
      <alignment horizontal="center" vertical="center"/>
    </xf>
    <xf numFmtId="166" fontId="13" fillId="3" borderId="0" xfId="1" applyNumberFormat="1" applyFont="1" applyFill="1" applyBorder="1" applyAlignment="1">
      <alignment horizontal="center" vertical="center"/>
    </xf>
    <xf numFmtId="0" fontId="47" fillId="0" borderId="0" xfId="0" applyFont="1"/>
    <xf numFmtId="0" fontId="16" fillId="0" borderId="4" xfId="8" applyFont="1" applyBorder="1"/>
    <xf numFmtId="167" fontId="16" fillId="0" borderId="0" xfId="17" applyNumberFormat="1" applyFont="1" applyAlignment="1"/>
    <xf numFmtId="38" fontId="18" fillId="0" borderId="0" xfId="3" applyNumberFormat="1" applyFont="1"/>
    <xf numFmtId="0" fontId="16" fillId="0" borderId="0" xfId="8" applyFont="1" applyAlignment="1">
      <alignment horizontal="right"/>
    </xf>
    <xf numFmtId="9" fontId="16" fillId="0" borderId="0" xfId="8" applyNumberFormat="1" applyFont="1" applyAlignment="1">
      <alignment horizontal="right"/>
    </xf>
    <xf numFmtId="38" fontId="17" fillId="0" borderId="0" xfId="3" applyNumberFormat="1" applyFont="1"/>
    <xf numFmtId="167" fontId="13" fillId="0" borderId="0" xfId="17" applyNumberFormat="1" applyFont="1" applyAlignment="1"/>
    <xf numFmtId="10" fontId="16" fillId="0" borderId="0" xfId="8" applyNumberFormat="1" applyFont="1" applyAlignment="1">
      <alignment horizontal="right"/>
    </xf>
    <xf numFmtId="9" fontId="13" fillId="0" borderId="0" xfId="8" applyNumberFormat="1" applyFont="1" applyAlignment="1">
      <alignment horizontal="right"/>
    </xf>
    <xf numFmtId="166" fontId="13" fillId="0" borderId="0" xfId="16" applyNumberFormat="1" applyFont="1" applyAlignment="1">
      <alignment horizontal="right"/>
    </xf>
    <xf numFmtId="166" fontId="16" fillId="0" borderId="0" xfId="16" applyNumberFormat="1" applyFont="1" applyAlignment="1">
      <alignment horizontal="right"/>
    </xf>
    <xf numFmtId="37" fontId="13" fillId="0" borderId="0" xfId="8" applyNumberFormat="1" applyFont="1"/>
    <xf numFmtId="166" fontId="13" fillId="0" borderId="0" xfId="16" applyNumberFormat="1" applyFont="1"/>
    <xf numFmtId="0" fontId="16" fillId="0" borderId="0" xfId="8" applyFont="1" applyAlignment="1">
      <alignment vertical="distributed"/>
    </xf>
    <xf numFmtId="10" fontId="16" fillId="0" borderId="0" xfId="8" applyNumberFormat="1" applyFont="1" applyAlignment="1">
      <alignment horizontal="center"/>
    </xf>
    <xf numFmtId="9" fontId="13" fillId="0" borderId="0" xfId="8" applyNumberFormat="1" applyFont="1" applyAlignment="1">
      <alignment horizontal="center"/>
    </xf>
    <xf numFmtId="166" fontId="13" fillId="0" borderId="0" xfId="16" applyNumberFormat="1" applyFont="1" applyAlignment="1">
      <alignment horizontal="center"/>
    </xf>
    <xf numFmtId="37" fontId="13" fillId="0" borderId="0" xfId="8" applyNumberFormat="1" applyFont="1" applyAlignment="1">
      <alignment horizontal="center"/>
    </xf>
    <xf numFmtId="0" fontId="20" fillId="0" borderId="0" xfId="8" applyFont="1" applyAlignment="1">
      <alignment horizontal="center"/>
    </xf>
    <xf numFmtId="0" fontId="26" fillId="0" borderId="0" xfId="8" applyFont="1"/>
    <xf numFmtId="0" fontId="26" fillId="0" borderId="0" xfId="8" applyFont="1" applyAlignment="1">
      <alignment horizontal="center"/>
    </xf>
    <xf numFmtId="0" fontId="18" fillId="0" borderId="0" xfId="0" applyFont="1"/>
    <xf numFmtId="0" fontId="18" fillId="0" borderId="0" xfId="0" applyFont="1" applyAlignment="1">
      <alignment horizontal="right"/>
    </xf>
    <xf numFmtId="38" fontId="18" fillId="0" borderId="6" xfId="3" applyNumberFormat="1" applyFont="1" applyBorder="1" applyAlignment="1">
      <alignment horizontal="center"/>
    </xf>
    <xf numFmtId="9" fontId="16" fillId="0" borderId="6" xfId="8" applyNumberFormat="1" applyFont="1" applyBorder="1" applyAlignment="1">
      <alignment horizontal="center"/>
    </xf>
    <xf numFmtId="38" fontId="17" fillId="0" borderId="6" xfId="3" applyNumberFormat="1" applyFont="1" applyBorder="1" applyAlignment="1">
      <alignment horizontal="center"/>
    </xf>
    <xf numFmtId="9" fontId="13" fillId="0" borderId="6" xfId="8" applyNumberFormat="1" applyFont="1" applyBorder="1" applyAlignment="1">
      <alignment horizontal="center"/>
    </xf>
    <xf numFmtId="166" fontId="13" fillId="0" borderId="6" xfId="16" applyNumberFormat="1" applyFont="1" applyBorder="1" applyAlignment="1">
      <alignment horizontal="center"/>
    </xf>
    <xf numFmtId="166" fontId="16" fillId="0" borderId="6" xfId="16" applyNumberFormat="1" applyFont="1" applyBorder="1" applyAlignment="1">
      <alignment horizontal="center"/>
    </xf>
    <xf numFmtId="0" fontId="13" fillId="0" borderId="6" xfId="8" applyFont="1" applyBorder="1" applyAlignment="1">
      <alignment vertical="distributed"/>
    </xf>
    <xf numFmtId="166" fontId="13" fillId="0" borderId="0" xfId="1" applyNumberFormat="1" applyFont="1" applyAlignment="1"/>
    <xf numFmtId="0" fontId="48" fillId="0" borderId="0" xfId="8" applyFont="1"/>
    <xf numFmtId="166" fontId="48" fillId="0" borderId="0" xfId="16" applyNumberFormat="1" applyFont="1"/>
    <xf numFmtId="167" fontId="21" fillId="0" borderId="0" xfId="17" applyNumberFormat="1" applyFont="1" applyAlignment="1"/>
    <xf numFmtId="38" fontId="17" fillId="0" borderId="1" xfId="3" applyNumberFormat="1" applyFont="1" applyBorder="1"/>
    <xf numFmtId="167" fontId="48" fillId="0" borderId="0" xfId="17" applyNumberFormat="1" applyFont="1" applyAlignment="1"/>
    <xf numFmtId="171" fontId="16" fillId="0" borderId="0" xfId="8" applyNumberFormat="1" applyFont="1" applyAlignment="1">
      <alignment horizontal="center"/>
    </xf>
    <xf numFmtId="3" fontId="17" fillId="0" borderId="0" xfId="3" applyNumberFormat="1" applyFont="1" applyAlignment="1">
      <alignment horizontal="center"/>
    </xf>
    <xf numFmtId="3" fontId="18" fillId="0" borderId="0" xfId="3" applyNumberFormat="1" applyFont="1" applyAlignment="1">
      <alignment horizontal="center"/>
    </xf>
    <xf numFmtId="3" fontId="17" fillId="0" borderId="1" xfId="3" applyNumberFormat="1" applyFont="1" applyBorder="1" applyAlignment="1">
      <alignment horizontal="center"/>
    </xf>
    <xf numFmtId="3" fontId="16" fillId="0" borderId="0" xfId="8" applyNumberFormat="1" applyFont="1" applyAlignment="1">
      <alignment horizontal="center"/>
    </xf>
    <xf numFmtId="0" fontId="43" fillId="0" borderId="0" xfId="8" applyFont="1"/>
    <xf numFmtId="0" fontId="46" fillId="0" borderId="0" xfId="8" applyFont="1"/>
    <xf numFmtId="167" fontId="43" fillId="0" borderId="0" xfId="17" applyNumberFormat="1" applyFont="1" applyAlignment="1"/>
    <xf numFmtId="0" fontId="49" fillId="0" borderId="0" xfId="8" applyFont="1"/>
    <xf numFmtId="167" fontId="44" fillId="0" borderId="0" xfId="17" applyNumberFormat="1" applyFont="1" applyAlignment="1"/>
    <xf numFmtId="0" fontId="44" fillId="0" borderId="0" xfId="8" applyFont="1"/>
    <xf numFmtId="167" fontId="49" fillId="0" borderId="0" xfId="17" applyNumberFormat="1" applyFont="1" applyAlignment="1"/>
    <xf numFmtId="4" fontId="13" fillId="0" borderId="0" xfId="16" applyNumberFormat="1" applyFont="1" applyAlignment="1">
      <alignment horizontal="center"/>
    </xf>
    <xf numFmtId="177" fontId="13" fillId="0" borderId="0" xfId="8" applyNumberFormat="1" applyFont="1" applyAlignment="1">
      <alignment horizontal="center"/>
    </xf>
    <xf numFmtId="3" fontId="18" fillId="0" borderId="0" xfId="0" applyNumberFormat="1" applyFont="1" applyAlignment="1">
      <alignment horizontal="center"/>
    </xf>
    <xf numFmtId="0" fontId="16" fillId="0" borderId="6" xfId="8" applyFont="1" applyBorder="1" applyAlignment="1">
      <alignment vertical="distributed"/>
    </xf>
    <xf numFmtId="0" fontId="13" fillId="0" borderId="25" xfId="8" applyFont="1" applyBorder="1"/>
    <xf numFmtId="0" fontId="13" fillId="0" borderId="26" xfId="8" applyFont="1" applyBorder="1"/>
    <xf numFmtId="0" fontId="27" fillId="2" borderId="0" xfId="8" applyFont="1" applyFill="1"/>
    <xf numFmtId="0" fontId="27" fillId="2" borderId="0" xfId="8" applyFont="1" applyFill="1" applyAlignment="1">
      <alignment horizontal="center"/>
    </xf>
    <xf numFmtId="166" fontId="13" fillId="0" borderId="0" xfId="8" applyNumberFormat="1" applyFont="1"/>
    <xf numFmtId="9" fontId="13" fillId="0" borderId="0" xfId="8" applyNumberFormat="1" applyFont="1"/>
    <xf numFmtId="166" fontId="13" fillId="0" borderId="26" xfId="8" applyNumberFormat="1" applyFont="1" applyBorder="1"/>
    <xf numFmtId="167" fontId="26" fillId="0" borderId="26" xfId="17" applyNumberFormat="1" applyFont="1" applyBorder="1"/>
    <xf numFmtId="0" fontId="16" fillId="0" borderId="25" xfId="8" applyFont="1" applyBorder="1"/>
    <xf numFmtId="166" fontId="16" fillId="0" borderId="26" xfId="8" applyNumberFormat="1" applyFont="1" applyBorder="1"/>
    <xf numFmtId="176" fontId="16" fillId="0" borderId="26" xfId="8" applyNumberFormat="1" applyFont="1" applyBorder="1"/>
    <xf numFmtId="10" fontId="16" fillId="0" borderId="0" xfId="16" applyNumberFormat="1" applyFont="1" applyBorder="1"/>
    <xf numFmtId="0" fontId="26" fillId="0" borderId="25" xfId="8" applyFont="1" applyBorder="1" applyAlignment="1">
      <alignment horizontal="center"/>
    </xf>
    <xf numFmtId="0" fontId="16" fillId="0" borderId="3" xfId="8" applyFont="1" applyBorder="1"/>
    <xf numFmtId="0" fontId="13" fillId="0" borderId="4" xfId="8" applyFont="1" applyBorder="1"/>
    <xf numFmtId="10" fontId="16" fillId="0" borderId="5" xfId="16" applyNumberFormat="1" applyFont="1" applyFill="1" applyBorder="1"/>
    <xf numFmtId="0" fontId="13" fillId="0" borderId="10" xfId="8" applyFont="1" applyBorder="1"/>
    <xf numFmtId="10" fontId="16" fillId="0" borderId="5" xfId="8" applyNumberFormat="1" applyFont="1" applyBorder="1"/>
    <xf numFmtId="0" fontId="20" fillId="0" borderId="25" xfId="8" applyFont="1" applyBorder="1"/>
    <xf numFmtId="0" fontId="20" fillId="0" borderId="26" xfId="8" applyFont="1" applyBorder="1" applyAlignment="1">
      <alignment horizontal="center"/>
    </xf>
    <xf numFmtId="10" fontId="13" fillId="0" borderId="0" xfId="8" applyNumberFormat="1" applyFont="1"/>
    <xf numFmtId="10" fontId="13" fillId="0" borderId="26" xfId="8" applyNumberFormat="1" applyFont="1" applyBorder="1"/>
    <xf numFmtId="10" fontId="26" fillId="0" borderId="26" xfId="8" applyNumberFormat="1" applyFont="1" applyBorder="1"/>
    <xf numFmtId="10" fontId="26" fillId="0" borderId="0" xfId="8" applyNumberFormat="1" applyFont="1"/>
    <xf numFmtId="0" fontId="16" fillId="0" borderId="4" xfId="8" applyFont="1" applyBorder="1" applyAlignment="1">
      <alignment horizontal="center"/>
    </xf>
    <xf numFmtId="0" fontId="16" fillId="0" borderId="8" xfId="8" applyFont="1" applyBorder="1" applyAlignment="1">
      <alignment horizontal="center"/>
    </xf>
    <xf numFmtId="0" fontId="20" fillId="0" borderId="25" xfId="8" applyFont="1" applyBorder="1" applyAlignment="1">
      <alignment horizontal="center"/>
    </xf>
    <xf numFmtId="0" fontId="16" fillId="0" borderId="26" xfId="8" applyFont="1" applyBorder="1"/>
    <xf numFmtId="10" fontId="17" fillId="0" borderId="0" xfId="16" applyNumberFormat="1" applyFont="1" applyBorder="1"/>
    <xf numFmtId="167" fontId="17" fillId="0" borderId="26" xfId="17" applyNumberFormat="1" applyFont="1" applyBorder="1"/>
    <xf numFmtId="166" fontId="17" fillId="0" borderId="0" xfId="16" applyNumberFormat="1" applyFont="1" applyBorder="1"/>
    <xf numFmtId="10" fontId="17" fillId="0" borderId="0" xfId="16" applyNumberFormat="1" applyFont="1" applyFill="1"/>
    <xf numFmtId="171" fontId="17" fillId="0" borderId="0" xfId="17" applyNumberFormat="1" applyFont="1"/>
    <xf numFmtId="10" fontId="17" fillId="0" borderId="0" xfId="16" applyNumberFormat="1" applyFont="1"/>
    <xf numFmtId="10" fontId="16" fillId="0" borderId="8" xfId="8" applyNumberFormat="1" applyFont="1" applyBorder="1" applyAlignment="1">
      <alignment horizontal="center"/>
    </xf>
    <xf numFmtId="10" fontId="13" fillId="0" borderId="0" xfId="1" applyNumberFormat="1" applyFont="1" applyAlignment="1">
      <alignment horizontal="center"/>
    </xf>
    <xf numFmtId="166" fontId="16" fillId="0" borderId="8" xfId="8" applyNumberFormat="1" applyFont="1" applyBorder="1" applyAlignment="1">
      <alignment horizontal="center"/>
    </xf>
    <xf numFmtId="177" fontId="16" fillId="0" borderId="8" xfId="8" applyNumberFormat="1" applyFont="1" applyBorder="1" applyAlignment="1">
      <alignment horizontal="center"/>
    </xf>
    <xf numFmtId="166" fontId="16" fillId="0" borderId="0" xfId="8" applyNumberFormat="1" applyFont="1"/>
    <xf numFmtId="166" fontId="16" fillId="0" borderId="0" xfId="16" applyNumberFormat="1" applyFont="1"/>
    <xf numFmtId="166" fontId="44" fillId="0" borderId="0" xfId="16" applyNumberFormat="1" applyFont="1" applyAlignment="1"/>
    <xf numFmtId="166" fontId="13" fillId="0" borderId="0" xfId="16" applyNumberFormat="1" applyFont="1" applyAlignment="1"/>
    <xf numFmtId="171" fontId="13" fillId="0" borderId="0" xfId="8" applyNumberFormat="1" applyFont="1" applyAlignment="1">
      <alignment horizontal="center"/>
    </xf>
    <xf numFmtId="10" fontId="13" fillId="0" borderId="0" xfId="16" applyNumberFormat="1" applyFont="1" applyAlignment="1">
      <alignment horizontal="center"/>
    </xf>
    <xf numFmtId="9" fontId="13" fillId="0" borderId="0" xfId="16" applyFont="1" applyAlignment="1">
      <alignment horizontal="center"/>
    </xf>
    <xf numFmtId="10" fontId="13" fillId="0" borderId="0" xfId="8" applyNumberFormat="1" applyFont="1" applyAlignment="1">
      <alignment horizontal="center"/>
    </xf>
    <xf numFmtId="0" fontId="27" fillId="0" borderId="0" xfId="0" applyFont="1" applyAlignment="1">
      <alignment horizontal="center"/>
    </xf>
    <xf numFmtId="4" fontId="18" fillId="0" borderId="6" xfId="15" applyNumberFormat="1" applyFont="1" applyBorder="1" applyAlignment="1">
      <alignment horizontal="center"/>
    </xf>
    <xf numFmtId="171" fontId="16" fillId="3" borderId="0" xfId="19" applyNumberFormat="1" applyFont="1" applyFill="1" applyAlignment="1">
      <alignment vertical="center"/>
    </xf>
    <xf numFmtId="170" fontId="13" fillId="3" borderId="0" xfId="10" applyFont="1" applyFill="1" applyBorder="1" applyAlignment="1">
      <alignment vertical="center"/>
    </xf>
    <xf numFmtId="167" fontId="13" fillId="3" borderId="0" xfId="10" applyNumberFormat="1" applyFont="1" applyFill="1" applyAlignment="1">
      <alignment vertical="center"/>
    </xf>
    <xf numFmtId="167" fontId="16" fillId="3" borderId="0" xfId="10" applyNumberFormat="1" applyFont="1" applyFill="1" applyAlignment="1">
      <alignment vertical="center"/>
    </xf>
    <xf numFmtId="0" fontId="16" fillId="3" borderId="4" xfId="19" applyFont="1" applyFill="1" applyBorder="1" applyAlignment="1">
      <alignment vertical="center"/>
    </xf>
    <xf numFmtId="166" fontId="13" fillId="3" borderId="0" xfId="9" applyNumberFormat="1" applyFont="1" applyFill="1" applyAlignment="1">
      <alignment vertical="center"/>
    </xf>
    <xf numFmtId="3" fontId="17" fillId="0" borderId="0" xfId="1" applyNumberFormat="1" applyFont="1" applyAlignment="1">
      <alignment horizontal="center"/>
    </xf>
    <xf numFmtId="3" fontId="16" fillId="3" borderId="4" xfId="19" applyNumberFormat="1" applyFont="1" applyFill="1" applyBorder="1" applyAlignment="1">
      <alignment horizontal="center" vertical="center"/>
    </xf>
    <xf numFmtId="3" fontId="13" fillId="3" borderId="0" xfId="9" applyNumberFormat="1" applyFont="1" applyFill="1" applyBorder="1" applyAlignment="1">
      <alignment horizontal="center" vertical="center"/>
    </xf>
    <xf numFmtId="3" fontId="13" fillId="3" borderId="0" xfId="10" applyNumberFormat="1" applyFont="1" applyFill="1" applyBorder="1" applyAlignment="1">
      <alignment horizontal="center" vertical="center"/>
    </xf>
    <xf numFmtId="3" fontId="18" fillId="0" borderId="0" xfId="3" applyNumberFormat="1" applyFont="1" applyBorder="1" applyAlignment="1">
      <alignment horizontal="center"/>
    </xf>
    <xf numFmtId="3" fontId="17" fillId="0" borderId="0" xfId="3" applyNumberFormat="1" applyFont="1" applyBorder="1" applyAlignment="1">
      <alignment horizontal="center"/>
    </xf>
    <xf numFmtId="166" fontId="17" fillId="0" borderId="0" xfId="1" applyNumberFormat="1" applyFont="1" applyBorder="1" applyAlignment="1">
      <alignment horizontal="center"/>
    </xf>
    <xf numFmtId="166" fontId="43" fillId="0" borderId="0" xfId="1" applyNumberFormat="1" applyFont="1"/>
    <xf numFmtId="166" fontId="46" fillId="0" borderId="0" xfId="1" applyNumberFormat="1" applyFont="1"/>
    <xf numFmtId="166" fontId="43" fillId="0" borderId="0" xfId="1" applyNumberFormat="1" applyFont="1" applyAlignment="1"/>
    <xf numFmtId="0" fontId="13" fillId="0" borderId="0" xfId="19" applyFont="1"/>
    <xf numFmtId="0" fontId="13" fillId="0" borderId="25" xfId="19" applyFont="1" applyBorder="1"/>
    <xf numFmtId="0" fontId="13" fillId="0" borderId="26" xfId="19" applyFont="1" applyBorder="1"/>
    <xf numFmtId="166" fontId="13" fillId="0" borderId="0" xfId="19" applyNumberFormat="1" applyFont="1"/>
    <xf numFmtId="9" fontId="13" fillId="0" borderId="0" xfId="19" applyNumberFormat="1" applyFont="1"/>
    <xf numFmtId="166" fontId="13" fillId="0" borderId="26" xfId="19" applyNumberFormat="1" applyFont="1" applyBorder="1"/>
    <xf numFmtId="0" fontId="26" fillId="0" borderId="0" xfId="19" applyFont="1"/>
    <xf numFmtId="167" fontId="26" fillId="0" borderId="26" xfId="10" applyNumberFormat="1" applyFont="1" applyBorder="1"/>
    <xf numFmtId="0" fontId="16" fillId="0" borderId="25" xfId="19" applyFont="1" applyBorder="1"/>
    <xf numFmtId="166" fontId="16" fillId="0" borderId="26" xfId="19" applyNumberFormat="1" applyFont="1" applyBorder="1"/>
    <xf numFmtId="0" fontId="16" fillId="0" borderId="0" xfId="19" applyFont="1"/>
    <xf numFmtId="176" fontId="16" fillId="0" borderId="26" xfId="19" applyNumberFormat="1" applyFont="1" applyBorder="1"/>
    <xf numFmtId="10" fontId="16" fillId="0" borderId="0" xfId="9" applyNumberFormat="1" applyFont="1" applyBorder="1"/>
    <xf numFmtId="0" fontId="26" fillId="0" borderId="25" xfId="19" applyFont="1" applyBorder="1" applyAlignment="1">
      <alignment horizontal="center"/>
    </xf>
    <xf numFmtId="0" fontId="16" fillId="0" borderId="3" xfId="19" applyFont="1" applyBorder="1"/>
    <xf numFmtId="0" fontId="13" fillId="0" borderId="4" xfId="19" applyFont="1" applyBorder="1"/>
    <xf numFmtId="10" fontId="16" fillId="0" borderId="5" xfId="9" applyNumberFormat="1" applyFont="1" applyFill="1" applyBorder="1"/>
    <xf numFmtId="0" fontId="13" fillId="0" borderId="10" xfId="19" applyFont="1" applyBorder="1"/>
    <xf numFmtId="10" fontId="16" fillId="0" borderId="5" xfId="19" applyNumberFormat="1" applyFont="1" applyBorder="1"/>
    <xf numFmtId="0" fontId="20" fillId="0" borderId="25" xfId="19" applyFont="1" applyBorder="1"/>
    <xf numFmtId="0" fontId="20" fillId="0" borderId="0" xfId="19" applyFont="1" applyAlignment="1">
      <alignment horizontal="center"/>
    </xf>
    <xf numFmtId="0" fontId="20" fillId="0" borderId="26" xfId="19" applyFont="1" applyBorder="1" applyAlignment="1">
      <alignment horizontal="center"/>
    </xf>
    <xf numFmtId="10" fontId="13" fillId="0" borderId="0" xfId="19" applyNumberFormat="1" applyFont="1"/>
    <xf numFmtId="10" fontId="13" fillId="0" borderId="26" xfId="19" applyNumberFormat="1" applyFont="1" applyBorder="1"/>
    <xf numFmtId="10" fontId="26" fillId="0" borderId="26" xfId="19" applyNumberFormat="1" applyFont="1" applyBorder="1"/>
    <xf numFmtId="10" fontId="26" fillId="0" borderId="0" xfId="19" applyNumberFormat="1" applyFont="1"/>
    <xf numFmtId="0" fontId="16" fillId="0" borderId="4" xfId="19" applyFont="1" applyBorder="1"/>
    <xf numFmtId="0" fontId="16" fillId="0" borderId="4" xfId="19" applyFont="1" applyBorder="1" applyAlignment="1">
      <alignment horizontal="center"/>
    </xf>
    <xf numFmtId="0" fontId="20" fillId="0" borderId="25" xfId="19" applyFont="1" applyBorder="1" applyAlignment="1">
      <alignment horizontal="center"/>
    </xf>
    <xf numFmtId="0" fontId="16" fillId="0" borderId="26" xfId="19" applyFont="1" applyBorder="1"/>
    <xf numFmtId="10" fontId="17" fillId="0" borderId="0" xfId="9" applyNumberFormat="1" applyFont="1" applyBorder="1"/>
    <xf numFmtId="167" fontId="17" fillId="0" borderId="26" xfId="10" applyNumberFormat="1" applyFont="1" applyBorder="1"/>
    <xf numFmtId="166" fontId="17" fillId="0" borderId="0" xfId="9" applyNumberFormat="1" applyFont="1" applyBorder="1"/>
    <xf numFmtId="10" fontId="17" fillId="0" borderId="0" xfId="9" applyNumberFormat="1" applyFont="1" applyFill="1"/>
    <xf numFmtId="171" fontId="17" fillId="0" borderId="0" xfId="10" applyNumberFormat="1" applyFont="1"/>
    <xf numFmtId="3" fontId="16" fillId="0" borderId="8" xfId="8" applyNumberFormat="1" applyFont="1" applyBorder="1" applyAlignment="1">
      <alignment horizontal="center"/>
    </xf>
    <xf numFmtId="166" fontId="19" fillId="0" borderId="0" xfId="1" applyNumberFormat="1" applyFont="1" applyAlignment="1">
      <alignment horizontal="center"/>
    </xf>
    <xf numFmtId="4" fontId="27" fillId="0" borderId="0" xfId="0" applyNumberFormat="1" applyFont="1" applyAlignment="1">
      <alignment horizontal="center"/>
    </xf>
    <xf numFmtId="0" fontId="13" fillId="0" borderId="17" xfId="8" applyFont="1" applyBorder="1"/>
    <xf numFmtId="4" fontId="17" fillId="0" borderId="17" xfId="3" applyNumberFormat="1" applyFont="1" applyBorder="1" applyAlignment="1">
      <alignment horizontal="center"/>
    </xf>
    <xf numFmtId="0" fontId="21" fillId="0" borderId="6" xfId="8" applyFont="1" applyBorder="1"/>
    <xf numFmtId="4" fontId="21" fillId="0" borderId="6" xfId="8" applyNumberFormat="1" applyFont="1" applyBorder="1" applyAlignment="1">
      <alignment horizontal="center"/>
    </xf>
    <xf numFmtId="0" fontId="17" fillId="0" borderId="0" xfId="0" applyFont="1" applyAlignment="1">
      <alignment horizontal="left" vertical="center"/>
    </xf>
    <xf numFmtId="165" fontId="17" fillId="0" borderId="0" xfId="3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174" fontId="18" fillId="0" borderId="0" xfId="20" applyNumberFormat="1" applyFont="1" applyAlignment="1">
      <alignment horizontal="right" vertical="center"/>
    </xf>
    <xf numFmtId="174" fontId="18" fillId="0" borderId="0" xfId="20" applyNumberFormat="1" applyFont="1" applyAlignment="1">
      <alignment horizontal="center" vertical="center"/>
    </xf>
    <xf numFmtId="0" fontId="16" fillId="0" borderId="0" xfId="0" applyFont="1" applyAlignment="1">
      <alignment vertical="center"/>
    </xf>
    <xf numFmtId="174" fontId="17" fillId="0" borderId="0" xfId="20" applyNumberFormat="1" applyFont="1" applyAlignment="1">
      <alignment horizontal="center" vertical="center"/>
    </xf>
    <xf numFmtId="174" fontId="17" fillId="0" borderId="0" xfId="20" applyNumberFormat="1" applyFont="1" applyAlignment="1">
      <alignment horizontal="right" vertical="center"/>
    </xf>
    <xf numFmtId="167" fontId="17" fillId="0" borderId="0" xfId="2" applyNumberFormat="1" applyFont="1" applyAlignment="1">
      <alignment horizontal="center" vertical="center"/>
    </xf>
    <xf numFmtId="166" fontId="17" fillId="0" borderId="0" xfId="1" applyNumberFormat="1" applyFont="1" applyFill="1" applyAlignment="1">
      <alignment horizontal="center" vertical="center"/>
    </xf>
    <xf numFmtId="0" fontId="13" fillId="0" borderId="0" xfId="0" applyFont="1" applyAlignment="1">
      <alignment vertical="center"/>
    </xf>
    <xf numFmtId="0" fontId="18" fillId="0" borderId="0" xfId="0" applyFont="1" applyAlignment="1">
      <alignment horizontal="left" vertical="center"/>
    </xf>
    <xf numFmtId="177" fontId="17" fillId="0" borderId="0" xfId="3" applyNumberFormat="1" applyFont="1" applyAlignment="1">
      <alignment horizontal="center" vertical="center"/>
    </xf>
    <xf numFmtId="177" fontId="18" fillId="0" borderId="0" xfId="0" applyNumberFormat="1" applyFont="1" applyAlignment="1">
      <alignment horizontal="center" vertical="center"/>
    </xf>
    <xf numFmtId="177" fontId="17" fillId="0" borderId="0" xfId="2" applyNumberFormat="1" applyFont="1" applyAlignment="1">
      <alignment horizontal="center" vertical="center"/>
    </xf>
    <xf numFmtId="177" fontId="17" fillId="0" borderId="0" xfId="0" applyNumberFormat="1" applyFont="1" applyAlignment="1">
      <alignment horizontal="center" vertical="center"/>
    </xf>
    <xf numFmtId="177" fontId="18" fillId="0" borderId="0" xfId="2" applyNumberFormat="1" applyFont="1" applyFill="1" applyAlignment="1">
      <alignment horizontal="center" vertical="center"/>
    </xf>
    <xf numFmtId="0" fontId="17" fillId="0" borderId="6" xfId="0" applyFont="1" applyBorder="1" applyAlignment="1">
      <alignment horizontal="left" vertical="center"/>
    </xf>
    <xf numFmtId="165" fontId="17" fillId="0" borderId="6" xfId="3" applyNumberFormat="1" applyFont="1" applyBorder="1" applyAlignment="1">
      <alignment horizontal="center" vertical="center"/>
    </xf>
    <xf numFmtId="177" fontId="17" fillId="0" borderId="6" xfId="3" applyNumberFormat="1" applyFont="1" applyBorder="1" applyAlignment="1">
      <alignment horizontal="center" vertical="center"/>
    </xf>
    <xf numFmtId="0" fontId="13" fillId="0" borderId="17" xfId="0" applyFont="1" applyBorder="1" applyAlignment="1">
      <alignment horizontal="left" vertical="center"/>
    </xf>
    <xf numFmtId="165" fontId="17" fillId="0" borderId="17" xfId="3" applyNumberFormat="1" applyFont="1" applyBorder="1" applyAlignment="1">
      <alignment horizontal="center" vertical="center"/>
    </xf>
    <xf numFmtId="0" fontId="16" fillId="0" borderId="6" xfId="0" applyFont="1" applyBorder="1" applyAlignment="1">
      <alignment horizontal="left" vertical="center"/>
    </xf>
    <xf numFmtId="177" fontId="18" fillId="0" borderId="6" xfId="3" applyNumberFormat="1" applyFont="1" applyBorder="1" applyAlignment="1">
      <alignment horizontal="center" vertical="center"/>
    </xf>
    <xf numFmtId="165" fontId="18" fillId="0" borderId="6" xfId="3" applyNumberFormat="1" applyFont="1" applyBorder="1" applyAlignment="1">
      <alignment horizontal="center" vertical="center"/>
    </xf>
    <xf numFmtId="0" fontId="16" fillId="0" borderId="6" xfId="0" applyFont="1" applyBorder="1" applyAlignment="1">
      <alignment vertical="center"/>
    </xf>
    <xf numFmtId="9" fontId="17" fillId="0" borderId="6" xfId="1" applyFont="1" applyBorder="1" applyAlignment="1">
      <alignment horizontal="center" vertical="center"/>
    </xf>
    <xf numFmtId="177" fontId="17" fillId="0" borderId="6" xfId="2" applyNumberFormat="1" applyFont="1" applyBorder="1" applyAlignment="1">
      <alignment horizontal="center" vertical="center"/>
    </xf>
    <xf numFmtId="0" fontId="17" fillId="0" borderId="17" xfId="0" applyFont="1" applyBorder="1" applyAlignment="1">
      <alignment vertical="center"/>
    </xf>
    <xf numFmtId="177" fontId="17" fillId="0" borderId="17" xfId="2" applyNumberFormat="1" applyFont="1" applyBorder="1" applyAlignment="1">
      <alignment horizontal="center" vertical="center"/>
    </xf>
    <xf numFmtId="177" fontId="17" fillId="0" borderId="6" xfId="1" applyNumberFormat="1" applyFont="1" applyBorder="1" applyAlignment="1">
      <alignment horizontal="center" vertical="center"/>
    </xf>
    <xf numFmtId="177" fontId="17" fillId="0" borderId="6" xfId="0" applyNumberFormat="1" applyFont="1" applyBorder="1" applyAlignment="1">
      <alignment horizontal="center" vertical="center"/>
    </xf>
    <xf numFmtId="177" fontId="18" fillId="0" borderId="6" xfId="20" applyNumberFormat="1" applyFont="1" applyBorder="1" applyAlignment="1">
      <alignment horizontal="center" vertical="center"/>
    </xf>
    <xf numFmtId="177" fontId="18" fillId="0" borderId="6" xfId="2" applyNumberFormat="1" applyFont="1" applyFill="1" applyBorder="1" applyAlignment="1">
      <alignment horizontal="center" vertical="center"/>
    </xf>
    <xf numFmtId="0" fontId="13" fillId="0" borderId="6" xfId="0" applyFont="1" applyBorder="1" applyAlignment="1">
      <alignment vertical="center"/>
    </xf>
    <xf numFmtId="174" fontId="17" fillId="0" borderId="0" xfId="20" applyNumberFormat="1" applyFont="1" applyFill="1" applyAlignment="1">
      <alignment horizontal="left" vertical="center"/>
    </xf>
    <xf numFmtId="177" fontId="17" fillId="0" borderId="6" xfId="2" applyNumberFormat="1" applyFont="1" applyFill="1" applyBorder="1" applyAlignment="1">
      <alignment horizontal="center" vertical="center"/>
    </xf>
    <xf numFmtId="0" fontId="17" fillId="0" borderId="0" xfId="0" applyFont="1" applyAlignment="1">
      <alignment horizontal="right" vertical="center"/>
    </xf>
    <xf numFmtId="177" fontId="18" fillId="0" borderId="0" xfId="2" applyNumberFormat="1" applyFont="1" applyAlignment="1">
      <alignment horizontal="center" vertical="center"/>
    </xf>
    <xf numFmtId="177" fontId="17" fillId="0" borderId="17" xfId="3" applyNumberFormat="1" applyFont="1" applyBorder="1" applyAlignment="1">
      <alignment horizontal="center" vertical="center"/>
    </xf>
    <xf numFmtId="177" fontId="17" fillId="0" borderId="6" xfId="20" applyNumberFormat="1" applyFont="1" applyBorder="1" applyAlignment="1">
      <alignment horizontal="center" vertical="center"/>
    </xf>
    <xf numFmtId="177" fontId="18" fillId="0" borderId="6" xfId="0" applyNumberFormat="1" applyFont="1" applyBorder="1" applyAlignment="1">
      <alignment horizontal="center" vertical="center"/>
    </xf>
    <xf numFmtId="177" fontId="17" fillId="0" borderId="17" xfId="0" applyNumberFormat="1" applyFont="1" applyBorder="1" applyAlignment="1">
      <alignment horizontal="center" vertical="center"/>
    </xf>
    <xf numFmtId="177" fontId="18" fillId="0" borderId="6" xfId="2" applyNumberFormat="1" applyFont="1" applyBorder="1" applyAlignment="1">
      <alignment horizontal="center" vertical="center"/>
    </xf>
    <xf numFmtId="177" fontId="18" fillId="0" borderId="6" xfId="20" applyNumberFormat="1" applyFont="1" applyFill="1" applyBorder="1" applyAlignment="1">
      <alignment horizontal="center" vertical="center"/>
    </xf>
    <xf numFmtId="166" fontId="16" fillId="0" borderId="6" xfId="0" applyNumberFormat="1" applyFont="1" applyBorder="1" applyAlignment="1">
      <alignment horizontal="center" vertical="center"/>
    </xf>
    <xf numFmtId="177" fontId="13" fillId="0" borderId="6" xfId="2" applyNumberFormat="1" applyFont="1" applyFill="1" applyBorder="1" applyAlignment="1">
      <alignment horizontal="center" vertical="center"/>
    </xf>
    <xf numFmtId="177" fontId="16" fillId="0" borderId="6" xfId="2" applyNumberFormat="1" applyFont="1" applyFill="1" applyBorder="1" applyAlignment="1">
      <alignment horizontal="center" vertical="center"/>
    </xf>
    <xf numFmtId="177" fontId="17" fillId="0" borderId="5" xfId="2" applyNumberFormat="1" applyFont="1" applyBorder="1" applyAlignment="1">
      <alignment horizontal="center" vertical="center"/>
    </xf>
    <xf numFmtId="166" fontId="17" fillId="0" borderId="5" xfId="1" applyNumberFormat="1" applyFont="1" applyBorder="1" applyAlignment="1">
      <alignment horizontal="center" vertical="center"/>
    </xf>
    <xf numFmtId="9" fontId="17" fillId="0" borderId="5" xfId="1" applyFont="1" applyBorder="1" applyAlignment="1">
      <alignment horizontal="center" vertical="center"/>
    </xf>
    <xf numFmtId="9" fontId="17" fillId="0" borderId="5" xfId="0" applyNumberFormat="1" applyFont="1" applyBorder="1" applyAlignment="1">
      <alignment horizontal="center" vertical="center"/>
    </xf>
    <xf numFmtId="0" fontId="16" fillId="0" borderId="3" xfId="21" applyFont="1" applyBorder="1" applyAlignment="1">
      <alignment horizontal="left" vertical="center"/>
    </xf>
    <xf numFmtId="0" fontId="16" fillId="0" borderId="5" xfId="21" applyFont="1" applyBorder="1" applyAlignment="1">
      <alignment horizontal="left" vertical="center"/>
    </xf>
    <xf numFmtId="4" fontId="13" fillId="0" borderId="17" xfId="8" applyNumberFormat="1" applyFont="1" applyBorder="1" applyAlignment="1">
      <alignment horizontal="center"/>
    </xf>
    <xf numFmtId="0" fontId="16" fillId="0" borderId="6" xfId="8" applyFont="1" applyBorder="1" applyAlignment="1">
      <alignment horizontal="center"/>
    </xf>
    <xf numFmtId="3" fontId="22" fillId="0" borderId="18" xfId="26" applyNumberFormat="1" applyFont="1" applyBorder="1" applyAlignment="1">
      <alignment horizontal="center" vertical="center"/>
    </xf>
    <xf numFmtId="3" fontId="22" fillId="0" borderId="19" xfId="26" applyNumberFormat="1" applyFont="1" applyBorder="1" applyAlignment="1">
      <alignment horizontal="center" vertical="center"/>
    </xf>
    <xf numFmtId="3" fontId="22" fillId="0" borderId="20" xfId="26" applyNumberFormat="1" applyFont="1" applyBorder="1" applyAlignment="1">
      <alignment horizontal="center" vertical="center"/>
    </xf>
    <xf numFmtId="0" fontId="16" fillId="0" borderId="0" xfId="8" applyFont="1" applyAlignment="1">
      <alignment horizontal="center" vertical="center"/>
    </xf>
    <xf numFmtId="0" fontId="29" fillId="0" borderId="0" xfId="21" applyFont="1" applyAlignment="1">
      <alignment horizontal="center"/>
    </xf>
    <xf numFmtId="0" fontId="30" fillId="0" borderId="0" xfId="21" applyFont="1" applyAlignment="1">
      <alignment horizontal="center"/>
    </xf>
    <xf numFmtId="0" fontId="27" fillId="4" borderId="0" xfId="21" applyFont="1" applyFill="1" applyAlignment="1">
      <alignment horizontal="center" vertical="center" wrapText="1"/>
    </xf>
    <xf numFmtId="0" fontId="27" fillId="4" borderId="0" xfId="21" applyFont="1" applyFill="1" applyAlignment="1">
      <alignment horizontal="left" vertical="center" wrapText="1"/>
    </xf>
    <xf numFmtId="0" fontId="18" fillId="0" borderId="0" xfId="21" applyFont="1" applyAlignment="1">
      <alignment horizontal="center" vertical="center"/>
    </xf>
    <xf numFmtId="0" fontId="18" fillId="0" borderId="6" xfId="21" applyFont="1" applyBorder="1" applyAlignment="1">
      <alignment horizontal="center" vertical="center"/>
    </xf>
    <xf numFmtId="4" fontId="18" fillId="0" borderId="6" xfId="21" applyNumberFormat="1" applyFont="1" applyBorder="1" applyAlignment="1">
      <alignment horizontal="center" vertical="center"/>
    </xf>
    <xf numFmtId="0" fontId="18" fillId="0" borderId="6" xfId="30" applyFont="1" applyBorder="1" applyAlignment="1">
      <alignment horizontal="center" vertical="center"/>
    </xf>
    <xf numFmtId="0" fontId="18" fillId="0" borderId="6" xfId="30" applyFont="1" applyBorder="1" applyAlignment="1">
      <alignment horizontal="left" vertical="center" wrapText="1"/>
    </xf>
    <xf numFmtId="3" fontId="45" fillId="0" borderId="0" xfId="1" applyNumberFormat="1" applyFont="1" applyFill="1" applyBorder="1" applyAlignment="1">
      <alignment horizontal="center" vertical="center"/>
    </xf>
    <xf numFmtId="3" fontId="18" fillId="0" borderId="6" xfId="30" applyNumberFormat="1" applyFont="1" applyBorder="1" applyAlignment="1">
      <alignment horizontal="center" vertical="center"/>
    </xf>
    <xf numFmtId="4" fontId="18" fillId="0" borderId="6" xfId="30" applyNumberFormat="1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6" fillId="3" borderId="0" xfId="19" applyFont="1" applyFill="1" applyAlignment="1">
      <alignment horizontal="center" vertical="center"/>
    </xf>
    <xf numFmtId="0" fontId="16" fillId="0" borderId="7" xfId="8" applyFont="1" applyBorder="1" applyAlignment="1">
      <alignment horizontal="center"/>
    </xf>
    <xf numFmtId="0" fontId="16" fillId="0" borderId="8" xfId="8" applyFont="1" applyBorder="1" applyAlignment="1">
      <alignment horizontal="center"/>
    </xf>
    <xf numFmtId="0" fontId="16" fillId="0" borderId="9" xfId="8" applyFont="1" applyBorder="1" applyAlignment="1">
      <alignment horizontal="center"/>
    </xf>
    <xf numFmtId="0" fontId="20" fillId="0" borderId="0" xfId="8" applyFont="1" applyAlignment="1">
      <alignment horizontal="center"/>
    </xf>
    <xf numFmtId="0" fontId="16" fillId="0" borderId="7" xfId="19" applyFont="1" applyBorder="1" applyAlignment="1">
      <alignment horizontal="center"/>
    </xf>
    <xf numFmtId="0" fontId="16" fillId="0" borderId="8" xfId="19" applyFont="1" applyBorder="1" applyAlignment="1">
      <alignment horizontal="center"/>
    </xf>
    <xf numFmtId="0" fontId="16" fillId="0" borderId="9" xfId="19" applyFont="1" applyBorder="1" applyAlignment="1">
      <alignment horizontal="center"/>
    </xf>
    <xf numFmtId="0" fontId="20" fillId="0" borderId="0" xfId="19" applyFont="1" applyAlignment="1">
      <alignment horizontal="center"/>
    </xf>
    <xf numFmtId="0" fontId="16" fillId="0" borderId="3" xfId="0" applyFont="1" applyBorder="1" applyAlignment="1">
      <alignment horizontal="left" vertical="center"/>
    </xf>
    <xf numFmtId="0" fontId="16" fillId="0" borderId="5" xfId="0" applyFont="1" applyBorder="1" applyAlignment="1">
      <alignment horizontal="left" vertical="center"/>
    </xf>
    <xf numFmtId="0" fontId="16" fillId="0" borderId="6" xfId="0" applyFont="1" applyBorder="1" applyAlignment="1">
      <alignment horizontal="left" vertical="center"/>
    </xf>
    <xf numFmtId="0" fontId="1" fillId="0" borderId="0" xfId="33"/>
    <xf numFmtId="0" fontId="1" fillId="0" borderId="0" xfId="33" applyAlignment="1">
      <alignment horizontal="center"/>
    </xf>
    <xf numFmtId="0" fontId="50" fillId="0" borderId="0" xfId="33" applyFont="1"/>
    <xf numFmtId="0" fontId="6" fillId="0" borderId="0" xfId="33" applyFont="1"/>
    <xf numFmtId="0" fontId="51" fillId="0" borderId="0" xfId="33" applyFont="1" applyAlignment="1">
      <alignment horizontal="center"/>
    </xf>
    <xf numFmtId="0" fontId="51" fillId="0" borderId="0" xfId="33" applyFont="1"/>
    <xf numFmtId="0" fontId="52" fillId="0" borderId="0" xfId="33" applyFont="1" applyAlignment="1">
      <alignment horizontal="center"/>
    </xf>
    <xf numFmtId="0" fontId="53" fillId="0" borderId="0" xfId="33" applyFont="1" applyAlignment="1">
      <alignment horizontal="center"/>
    </xf>
  </cellXfs>
  <cellStyles count="34">
    <cellStyle name="Comma 2" xfId="20" xr:uid="{862D2B6D-6989-438C-8C07-E85C0C4C86AC}"/>
    <cellStyle name="Comma 2 2 2" xfId="28" xr:uid="{6D368F02-EEBC-4898-9A76-111DA92267DC}"/>
    <cellStyle name="Comma 3" xfId="25" xr:uid="{6AC6C8FA-7DB7-4395-8073-1106E1BD70A3}"/>
    <cellStyle name="Comma 5" xfId="3" xr:uid="{74DBF821-33F2-4918-8AA3-64DDCEAEED5A}"/>
    <cellStyle name="Hiperlink 2" xfId="5" xr:uid="{42479DF9-6AD6-479A-B4F5-333FB97398D2}"/>
    <cellStyle name="Invisible" xfId="18" xr:uid="{6739F956-3010-409D-BCE3-1B072E18B4B8}"/>
    <cellStyle name="Moeda" xfId="15" builtinId="4"/>
    <cellStyle name="Moeda 2" xfId="6" xr:uid="{3D4B7AB6-D456-45A1-953C-48661B81120F}"/>
    <cellStyle name="Normal" xfId="0" builtinId="0"/>
    <cellStyle name="Normal 2" xfId="8" xr:uid="{6315F3FB-38CE-424D-810E-BA842CE29847}"/>
    <cellStyle name="Normal 2 2 2 2" xfId="21" xr:uid="{905F1814-329F-45D3-B410-5C93DD0B9FD7}"/>
    <cellStyle name="Normal 3" xfId="11" xr:uid="{DA0C3176-AE96-4FCE-95BE-74939C59CBD6}"/>
    <cellStyle name="Normal 4" xfId="4" xr:uid="{4B4A561F-AEDC-4BBD-AC79-29176CB18345}"/>
    <cellStyle name="Normal 5" xfId="19" xr:uid="{D4B0BBAE-20AD-4DA4-872B-D6253DB56277}"/>
    <cellStyle name="Normal 5 2" xfId="30" xr:uid="{67D63951-B9B0-4CAB-9087-E2DBDC3EE1F5}"/>
    <cellStyle name="Normal 6" xfId="26" xr:uid="{A1AAA346-B235-4973-A33B-0B733DA9915E}"/>
    <cellStyle name="Normal 7" xfId="33" xr:uid="{393467E0-E825-4307-B624-D0CAFC771180}"/>
    <cellStyle name="Percent 2" xfId="24" xr:uid="{0625E69D-EFC5-4046-A1B8-E87AD68C8325}"/>
    <cellStyle name="Percent 2 3 2" xfId="29" xr:uid="{F9693131-6EF7-4E72-910A-5E560729D3EC}"/>
    <cellStyle name="Percent 3" xfId="27" xr:uid="{B17F9125-694D-4D71-A708-6D02C775F29E}"/>
    <cellStyle name="Percent 4" xfId="14" xr:uid="{5F8C1FF3-8878-4DD5-BE39-B8C2D7267AC5}"/>
    <cellStyle name="Porcentagem" xfId="1" builtinId="5"/>
    <cellStyle name="Porcentagem 2" xfId="7" xr:uid="{B4520C4A-B09E-4350-B9E3-048AB467C6BD}"/>
    <cellStyle name="Porcentagem 3" xfId="9" xr:uid="{59D98DDE-89D3-4209-9D73-70A187BF3C4E}"/>
    <cellStyle name="Porcentagem 3 2" xfId="23" xr:uid="{CB93340C-83C7-4053-8B47-B7902FE3D8B1}"/>
    <cellStyle name="Porcentagem 4" xfId="12" xr:uid="{067733CD-A182-44A8-9D0C-E3E3C686840B}"/>
    <cellStyle name="Porcentagem 5" xfId="16" xr:uid="{B2C03183-D7A1-4355-828D-DC66D3D2A028}"/>
    <cellStyle name="Porcentagem 6" xfId="32" xr:uid="{0D3F3DEF-0D81-4F1D-8AB6-8EC060600689}"/>
    <cellStyle name="Vírgula" xfId="2" builtinId="3"/>
    <cellStyle name="Vírgula 2" xfId="10" xr:uid="{3E58E20C-B1E8-4FF8-9401-29CBD48ECB4C}"/>
    <cellStyle name="Vírgula 3" xfId="13" xr:uid="{C2D6854F-7BE2-498E-8668-8B125AE86FE8}"/>
    <cellStyle name="Vírgula 3 2" xfId="22" xr:uid="{9591E867-F15D-414A-8B0F-A7554A7DE3E9}"/>
    <cellStyle name="Vírgula 4" xfId="17" xr:uid="{497BA9D9-65D2-4B65-882F-BB1356258F5C}"/>
    <cellStyle name="Vírgula 6" xfId="31" xr:uid="{2757FB0A-982A-4E58-8003-B0334EDFC1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pt-BR" b="1">
                <a:latin typeface="Times New Roman" panose="02020603050405020304" pitchFamily="18" charset="0"/>
                <a:cs typeface="Times New Roman" panose="02020603050405020304" pitchFamily="18" charset="0"/>
              </a:rPr>
              <a:t>Alavancagem do RoE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'Cap 4  - M&amp;M'!$AB$2</c:f>
              <c:strCache>
                <c:ptCount val="1"/>
                <c:pt idx="0">
                  <c:v>RoE sem díivda</c:v>
                </c:pt>
              </c:strCache>
            </c:strRef>
          </c:tx>
          <c:spPr>
            <a:ln w="38100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'Cap 4  - M&amp;M'!$AC$1:$AI$1</c:f>
              <c:numCache>
                <c:formatCode>#,##0</c:formatCode>
                <c:ptCount val="7"/>
                <c:pt idx="0">
                  <c:v>0</c:v>
                </c:pt>
                <c:pt idx="1">
                  <c:v>50000</c:v>
                </c:pt>
                <c:pt idx="2">
                  <c:v>100000</c:v>
                </c:pt>
                <c:pt idx="3">
                  <c:v>150000</c:v>
                </c:pt>
                <c:pt idx="4">
                  <c:v>200000</c:v>
                </c:pt>
                <c:pt idx="5">
                  <c:v>250000</c:v>
                </c:pt>
                <c:pt idx="6">
                  <c:v>300000</c:v>
                </c:pt>
              </c:numCache>
            </c:numRef>
          </c:cat>
          <c:val>
            <c:numRef>
              <c:f>'Cap 4  - M&amp;M'!$AC$2:$AI$2</c:f>
              <c:numCache>
                <c:formatCode>0.0%</c:formatCode>
                <c:ptCount val="7"/>
                <c:pt idx="0">
                  <c:v>0</c:v>
                </c:pt>
                <c:pt idx="1">
                  <c:v>0.05</c:v>
                </c:pt>
                <c:pt idx="2">
                  <c:v>0.1</c:v>
                </c:pt>
                <c:pt idx="3">
                  <c:v>0.15</c:v>
                </c:pt>
                <c:pt idx="4">
                  <c:v>0.2</c:v>
                </c:pt>
                <c:pt idx="5">
                  <c:v>0.25</c:v>
                </c:pt>
                <c:pt idx="6">
                  <c:v>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E6-4E1F-A0CA-E9F0BF696261}"/>
            </c:ext>
          </c:extLst>
        </c:ser>
        <c:ser>
          <c:idx val="1"/>
          <c:order val="1"/>
          <c:tx>
            <c:strRef>
              <c:f>'Cap 4  - M&amp;M'!$AB$3</c:f>
              <c:strCache>
                <c:ptCount val="1"/>
                <c:pt idx="0">
                  <c:v>RoE dívida $500m</c:v>
                </c:pt>
              </c:strCache>
            </c:strRef>
          </c:tx>
          <c:spPr>
            <a:ln w="38100" cap="rnd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'Cap 4  - M&amp;M'!$AC$1:$AI$1</c:f>
              <c:numCache>
                <c:formatCode>#,##0</c:formatCode>
                <c:ptCount val="7"/>
                <c:pt idx="0">
                  <c:v>0</c:v>
                </c:pt>
                <c:pt idx="1">
                  <c:v>50000</c:v>
                </c:pt>
                <c:pt idx="2">
                  <c:v>100000</c:v>
                </c:pt>
                <c:pt idx="3">
                  <c:v>150000</c:v>
                </c:pt>
                <c:pt idx="4">
                  <c:v>200000</c:v>
                </c:pt>
                <c:pt idx="5">
                  <c:v>250000</c:v>
                </c:pt>
                <c:pt idx="6">
                  <c:v>300000</c:v>
                </c:pt>
              </c:numCache>
            </c:numRef>
          </c:cat>
          <c:val>
            <c:numRef>
              <c:f>'Cap 4  - M&amp;M'!$AC$3:$AI$3</c:f>
              <c:numCache>
                <c:formatCode>0.0%</c:formatCode>
                <c:ptCount val="7"/>
                <c:pt idx="0">
                  <c:v>-0.2</c:v>
                </c:pt>
                <c:pt idx="1">
                  <c:v>-0.1</c:v>
                </c:pt>
                <c:pt idx="2">
                  <c:v>0</c:v>
                </c:pt>
                <c:pt idx="3">
                  <c:v>0.1</c:v>
                </c:pt>
                <c:pt idx="4">
                  <c:v>0.2</c:v>
                </c:pt>
                <c:pt idx="5">
                  <c:v>0.3</c:v>
                </c:pt>
                <c:pt idx="6">
                  <c:v>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E6-4E1F-A0CA-E9F0BF696261}"/>
            </c:ext>
          </c:extLst>
        </c:ser>
        <c:ser>
          <c:idx val="2"/>
          <c:order val="2"/>
          <c:tx>
            <c:strRef>
              <c:f>'Cap 4  - M&amp;M'!$AB$4</c:f>
              <c:strCache>
                <c:ptCount val="1"/>
                <c:pt idx="0">
                  <c:v>RoE dívida $600m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'Cap 4  - M&amp;M'!$AC$1:$AI$1</c:f>
              <c:numCache>
                <c:formatCode>#,##0</c:formatCode>
                <c:ptCount val="7"/>
                <c:pt idx="0">
                  <c:v>0</c:v>
                </c:pt>
                <c:pt idx="1">
                  <c:v>50000</c:v>
                </c:pt>
                <c:pt idx="2">
                  <c:v>100000</c:v>
                </c:pt>
                <c:pt idx="3">
                  <c:v>150000</c:v>
                </c:pt>
                <c:pt idx="4">
                  <c:v>200000</c:v>
                </c:pt>
                <c:pt idx="5">
                  <c:v>250000</c:v>
                </c:pt>
                <c:pt idx="6">
                  <c:v>300000</c:v>
                </c:pt>
              </c:numCache>
            </c:numRef>
          </c:cat>
          <c:val>
            <c:numRef>
              <c:f>'Cap 4  - M&amp;M'!$AC$4:$AI$4</c:f>
              <c:numCache>
                <c:formatCode>0.0%</c:formatCode>
                <c:ptCount val="7"/>
                <c:pt idx="0">
                  <c:v>-0.3</c:v>
                </c:pt>
                <c:pt idx="1">
                  <c:v>-0.17499999999999999</c:v>
                </c:pt>
                <c:pt idx="2">
                  <c:v>-0.05</c:v>
                </c:pt>
                <c:pt idx="3">
                  <c:v>7.4999999999999997E-2</c:v>
                </c:pt>
                <c:pt idx="4">
                  <c:v>0.2</c:v>
                </c:pt>
                <c:pt idx="5">
                  <c:v>0.32500000000000001</c:v>
                </c:pt>
                <c:pt idx="6">
                  <c:v>0.45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E6-4E1F-A0CA-E9F0BF6962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65966415"/>
        <c:axId val="2065967247"/>
      </c:lineChart>
      <c:catAx>
        <c:axId val="206596641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2065967247"/>
        <c:crosses val="autoZero"/>
        <c:auto val="1"/>
        <c:lblAlgn val="ctr"/>
        <c:lblOffset val="100"/>
        <c:noMultiLvlLbl val="0"/>
      </c:catAx>
      <c:valAx>
        <c:axId val="20659672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2065966415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'Cap 6 - Kilimanjaro'!$P$60</c:f>
              <c:strCache>
                <c:ptCount val="1"/>
                <c:pt idx="0">
                  <c:v>Divida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'Cap 6 - Kilimanjaro'!$O$61:$O$65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'Cap 6 - Kilimanjaro'!$P$61:$P$65</c:f>
              <c:numCache>
                <c:formatCode>#,##0</c:formatCode>
                <c:ptCount val="5"/>
                <c:pt idx="0">
                  <c:v>53000</c:v>
                </c:pt>
                <c:pt idx="1">
                  <c:v>62500</c:v>
                </c:pt>
                <c:pt idx="2">
                  <c:v>60000</c:v>
                </c:pt>
                <c:pt idx="3">
                  <c:v>69500</c:v>
                </c:pt>
                <c:pt idx="4">
                  <c:v>70500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E1-47C6-899C-D4EF8ACF7951}"/>
            </c:ext>
          </c:extLst>
        </c:ser>
        <c:ser>
          <c:idx val="1"/>
          <c:order val="1"/>
          <c:tx>
            <c:strRef>
              <c:f>'Cap 6 - Kilimanjaro'!$Q$60</c:f>
              <c:strCache>
                <c:ptCount val="1"/>
                <c:pt idx="0">
                  <c:v>PL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'Cap 6 - Kilimanjaro'!$O$61:$O$65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'Cap 6 - Kilimanjaro'!$Q$61:$Q$65</c:f>
              <c:numCache>
                <c:formatCode>#,##0</c:formatCode>
                <c:ptCount val="5"/>
                <c:pt idx="0">
                  <c:v>51800.444888888887</c:v>
                </c:pt>
                <c:pt idx="1">
                  <c:v>60553.324888888892</c:v>
                </c:pt>
                <c:pt idx="2">
                  <c:v>58895.404888888886</c:v>
                </c:pt>
                <c:pt idx="3">
                  <c:v>59850.135088888885</c:v>
                </c:pt>
                <c:pt idx="4">
                  <c:v>67443.495088888885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DE1-47C6-899C-D4EF8ACF79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344929919"/>
        <c:axId val="1344931839"/>
      </c:barChart>
      <c:catAx>
        <c:axId val="13449299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pt-BR"/>
          </a:p>
        </c:txPr>
        <c:crossAx val="1344931839"/>
        <c:crosses val="autoZero"/>
        <c:auto val="1"/>
        <c:lblAlgn val="ctr"/>
        <c:lblOffset val="100"/>
        <c:noMultiLvlLbl val="0"/>
      </c:catAx>
      <c:valAx>
        <c:axId val="1344931839"/>
        <c:scaling>
          <c:orientation val="minMax"/>
          <c:max val="15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pt-BR"/>
          </a:p>
        </c:txPr>
        <c:crossAx val="1344929919"/>
        <c:crosses val="autoZero"/>
        <c:crossBetween val="between"/>
        <c:majorUnit val="30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 b="1">
          <a:latin typeface="Aptos" panose="020B0004020202020204" pitchFamily="34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'Cap 6 - Kilimanjaro'!$R$60</c:f>
              <c:strCache>
                <c:ptCount val="1"/>
                <c:pt idx="0">
                  <c:v>Dívida Líquida / Ebitda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'Cap 6 - Kilimanjaro'!$O$61:$O$65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'Cap 6 - Kilimanjaro'!$R$61:$R$65</c:f>
              <c:numCache>
                <c:formatCode>#,##0.00</c:formatCode>
                <c:ptCount val="5"/>
                <c:pt idx="0">
                  <c:v>1.5084581525816649</c:v>
                </c:pt>
                <c:pt idx="1">
                  <c:v>2.0068653122858833</c:v>
                </c:pt>
                <c:pt idx="2">
                  <c:v>4.4334326859142612</c:v>
                </c:pt>
                <c:pt idx="3">
                  <c:v>2.3745669541537251</c:v>
                </c:pt>
                <c:pt idx="4">
                  <c:v>1.6818686832760597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39-43D5-870B-DF79B9CAB0A1}"/>
            </c:ext>
          </c:extLst>
        </c:ser>
        <c:ser>
          <c:idx val="1"/>
          <c:order val="1"/>
          <c:tx>
            <c:strRef>
              <c:f>'Cap 6 - Kilimanjaro'!$S$60</c:f>
              <c:strCache>
                <c:ptCount val="1"/>
                <c:pt idx="0">
                  <c:v>Liquidez Corrente</c:v>
                </c:pt>
              </c:strCache>
            </c:strRef>
          </c:tx>
          <c:spPr>
            <a:ln w="38100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'Cap 6 - Kilimanjaro'!$O$61:$O$65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'Cap 6 - Kilimanjaro'!$S$61:$S$65</c:f>
              <c:numCache>
                <c:formatCode>#,##0.00</c:formatCode>
                <c:ptCount val="5"/>
                <c:pt idx="0">
                  <c:v>2.0410484558404556</c:v>
                </c:pt>
                <c:pt idx="1">
                  <c:v>1.886666341880342</c:v>
                </c:pt>
                <c:pt idx="2">
                  <c:v>0.99721079703703674</c:v>
                </c:pt>
                <c:pt idx="3">
                  <c:v>1.3289894228663441</c:v>
                </c:pt>
                <c:pt idx="4">
                  <c:v>1.2846454452883262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39-43D5-870B-DF79B9CAB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44929919"/>
        <c:axId val="1344931839"/>
      </c:lineChart>
      <c:catAx>
        <c:axId val="13449299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pt-BR"/>
          </a:p>
        </c:txPr>
        <c:crossAx val="1344931839"/>
        <c:crosses val="autoZero"/>
        <c:auto val="1"/>
        <c:lblAlgn val="ctr"/>
        <c:lblOffset val="100"/>
        <c:noMultiLvlLbl val="0"/>
      </c:catAx>
      <c:valAx>
        <c:axId val="1344931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pt-BR"/>
          </a:p>
        </c:txPr>
        <c:crossAx val="1344929919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 b="1">
          <a:latin typeface="Aptos" panose="020B0004020202020204" pitchFamily="34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'Cap 6 - Kilimanjaro'!$P$68</c:f>
              <c:strCache>
                <c:ptCount val="1"/>
                <c:pt idx="0">
                  <c:v>CGL Operacional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'Cap 6 - Kilimanjaro'!$O$69:$O$73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'Cap 6 - Kilimanjaro'!$P$69:$P$73</c:f>
              <c:numCache>
                <c:formatCode>#,##0</c:formatCode>
                <c:ptCount val="5"/>
                <c:pt idx="0">
                  <c:v>18500</c:v>
                </c:pt>
                <c:pt idx="1">
                  <c:v>29000</c:v>
                </c:pt>
                <c:pt idx="2">
                  <c:v>16200</c:v>
                </c:pt>
                <c:pt idx="3">
                  <c:v>23500</c:v>
                </c:pt>
                <c:pt idx="4">
                  <c:v>23500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04-4E35-A041-1C7E026979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1110461855"/>
        <c:axId val="1110460895"/>
      </c:barChart>
      <c:lineChart>
        <c:grouping val="standard"/>
        <c:varyColors val="0"/>
        <c:ser>
          <c:idx val="1"/>
          <c:order val="1"/>
          <c:tx>
            <c:strRef>
              <c:f>'Cap 6 - Kilimanjaro'!$Q$68</c:f>
              <c:strCache>
                <c:ptCount val="1"/>
                <c:pt idx="0">
                  <c:v>CGL / Receita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val>
            <c:numRef>
              <c:f>'Cap 6 - Kilimanjaro'!$Q$69:$Q$73</c:f>
              <c:numCache>
                <c:formatCode>0.0%</c:formatCode>
                <c:ptCount val="5"/>
                <c:pt idx="0">
                  <c:v>0.18686868686868688</c:v>
                </c:pt>
                <c:pt idx="1">
                  <c:v>0.26363636363636361</c:v>
                </c:pt>
                <c:pt idx="2">
                  <c:v>0.18</c:v>
                </c:pt>
                <c:pt idx="3">
                  <c:v>0.20434782608695654</c:v>
                </c:pt>
                <c:pt idx="4">
                  <c:v>0.16433566433566432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04-4E35-A041-1C7E026979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45661887"/>
        <c:axId val="518691311"/>
      </c:lineChart>
      <c:catAx>
        <c:axId val="11104618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pt-BR"/>
          </a:p>
        </c:txPr>
        <c:crossAx val="1110460895"/>
        <c:crosses val="autoZero"/>
        <c:auto val="1"/>
        <c:lblAlgn val="ctr"/>
        <c:lblOffset val="100"/>
        <c:noMultiLvlLbl val="0"/>
      </c:catAx>
      <c:valAx>
        <c:axId val="11104608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bg1">
                    <a:lumMod val="75000"/>
                  </a:schemeClr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pt-BR"/>
          </a:p>
        </c:txPr>
        <c:crossAx val="1110461855"/>
        <c:crosses val="autoZero"/>
        <c:crossBetween val="between"/>
        <c:majorUnit val="7000"/>
      </c:valAx>
      <c:valAx>
        <c:axId val="518691311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pt-BR"/>
          </a:p>
        </c:txPr>
        <c:crossAx val="1345661887"/>
        <c:crosses val="max"/>
        <c:crossBetween val="between"/>
        <c:majorUnit val="6.0000000000000012E-2"/>
      </c:valAx>
      <c:catAx>
        <c:axId val="1345661887"/>
        <c:scaling>
          <c:orientation val="minMax"/>
        </c:scaling>
        <c:delete val="1"/>
        <c:axPos val="b"/>
        <c:majorTickMark val="out"/>
        <c:minorTickMark val="none"/>
        <c:tickLblPos val="nextTo"/>
        <c:crossAx val="51869131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 b="1">
          <a:latin typeface="Aptos" panose="020B0004020202020204" pitchFamily="34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'Cap 6 - Kilimanjaro'!$R$68</c:f>
              <c:strCache>
                <c:ptCount val="1"/>
                <c:pt idx="0">
                  <c:v>PMRV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'Cap 6 - Kilimanjaro'!$O$69:$O$73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'Cap 6 - Kilimanjaro'!$R$69:$R$73</c:f>
              <c:numCache>
                <c:formatCode>0</c:formatCode>
                <c:ptCount val="5"/>
                <c:pt idx="0">
                  <c:v>55.303030303030297</c:v>
                </c:pt>
                <c:pt idx="1">
                  <c:v>66.36363636363636</c:v>
                </c:pt>
                <c:pt idx="2">
                  <c:v>77.461111111111109</c:v>
                </c:pt>
                <c:pt idx="3">
                  <c:v>46.339130434782604</c:v>
                </c:pt>
                <c:pt idx="4">
                  <c:v>45.305944055944053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54-4B67-BBC7-282B48BE7269}"/>
            </c:ext>
          </c:extLst>
        </c:ser>
        <c:ser>
          <c:idx val="1"/>
          <c:order val="1"/>
          <c:tx>
            <c:strRef>
              <c:f>'Cap 6 - Kilimanjaro'!$S$68</c:f>
              <c:strCache>
                <c:ptCount val="1"/>
                <c:pt idx="0">
                  <c:v>PMRE</c:v>
                </c:pt>
              </c:strCache>
            </c:strRef>
          </c:tx>
          <c:spPr>
            <a:ln w="38100" cap="rnd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'Cap 6 - Kilimanjaro'!$O$69:$O$73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'Cap 6 - Kilimanjaro'!$S$69:$S$73</c:f>
              <c:numCache>
                <c:formatCode>0</c:formatCode>
                <c:ptCount val="5"/>
                <c:pt idx="0">
                  <c:v>122.89562289562289</c:v>
                </c:pt>
                <c:pt idx="1">
                  <c:v>107.81554072838476</c:v>
                </c:pt>
                <c:pt idx="2">
                  <c:v>117.03952274422072</c:v>
                </c:pt>
                <c:pt idx="3">
                  <c:v>105.41159618323381</c:v>
                </c:pt>
                <c:pt idx="4">
                  <c:v>100.13448090371168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54-4B67-BBC7-282B48BE7269}"/>
            </c:ext>
          </c:extLst>
        </c:ser>
        <c:ser>
          <c:idx val="2"/>
          <c:order val="2"/>
          <c:tx>
            <c:strRef>
              <c:f>'Cap 6 - Kilimanjaro'!$T$68</c:f>
              <c:strCache>
                <c:ptCount val="1"/>
                <c:pt idx="0">
                  <c:v>PMPC</c:v>
                </c:pt>
              </c:strCache>
            </c:strRef>
          </c:tx>
          <c:spPr>
            <a:ln w="38100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'Cap 6 - Kilimanjaro'!$O$69:$O$73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'Cap 6 - Kilimanjaro'!$T$69:$T$73</c:f>
              <c:numCache>
                <c:formatCode>0</c:formatCode>
                <c:ptCount val="5"/>
                <c:pt idx="0">
                  <c:v>70.664983164983155</c:v>
                </c:pt>
                <c:pt idx="1">
                  <c:v>60.884070058381987</c:v>
                </c:pt>
                <c:pt idx="2">
                  <c:v>63.963460104399701</c:v>
                </c:pt>
                <c:pt idx="3">
                  <c:v>52.126613497203529</c:v>
                </c:pt>
                <c:pt idx="4">
                  <c:v>52.030661646046262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54-4B67-BBC7-282B48BE72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0825071"/>
        <c:axId val="510825551"/>
      </c:lineChart>
      <c:catAx>
        <c:axId val="5108250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pt-BR"/>
          </a:p>
        </c:txPr>
        <c:crossAx val="510825551"/>
        <c:crosses val="autoZero"/>
        <c:auto val="1"/>
        <c:lblAlgn val="ctr"/>
        <c:lblOffset val="100"/>
        <c:noMultiLvlLbl val="0"/>
      </c:catAx>
      <c:valAx>
        <c:axId val="510825551"/>
        <c:scaling>
          <c:orientation val="minMax"/>
          <c:min val="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pt-BR"/>
          </a:p>
        </c:txPr>
        <c:crossAx val="510825071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 b="1">
          <a:latin typeface="Aptos" panose="020B0004020202020204" pitchFamily="34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'Cap 6 - Kilimanjaro'!$P$93</c:f>
              <c:strCache>
                <c:ptCount val="1"/>
                <c:pt idx="0">
                  <c:v>RoIC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numRef>
              <c:f>'Cap 6 - Kilimanjaro'!$O$94:$O$98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'Cap 6 - Kilimanjaro'!$P$94:$P$98</c:f>
              <c:numCache>
                <c:formatCode>0.0%</c:formatCode>
                <c:ptCount val="5"/>
                <c:pt idx="0">
                  <c:v>0.15399637764896512</c:v>
                </c:pt>
                <c:pt idx="1">
                  <c:v>0.12669178143575915</c:v>
                </c:pt>
                <c:pt idx="2">
                  <c:v>2.1550020141824649E-2</c:v>
                </c:pt>
                <c:pt idx="3">
                  <c:v>9.6913190070418251E-2</c:v>
                </c:pt>
                <c:pt idx="4">
                  <c:v>0.14346020881416427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C0-4332-BF5E-ED1FA6827286}"/>
            </c:ext>
          </c:extLst>
        </c:ser>
        <c:ser>
          <c:idx val="1"/>
          <c:order val="1"/>
          <c:tx>
            <c:strRef>
              <c:f>'Cap 6 - Kilimanjaro'!$Q$93</c:f>
              <c:strCache>
                <c:ptCount val="1"/>
                <c:pt idx="0">
                  <c:v>WACC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'Cap 6 - Kilimanjaro'!$O$94:$O$98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'Cap 6 - Kilimanjaro'!$Q$94:$Q$98</c:f>
              <c:numCache>
                <c:formatCode>0.0%</c:formatCode>
                <c:ptCount val="5"/>
                <c:pt idx="0">
                  <c:v>0.11772888872151141</c:v>
                </c:pt>
                <c:pt idx="1">
                  <c:v>0.1175584245232783</c:v>
                </c:pt>
                <c:pt idx="2">
                  <c:v>0.11781290363054159</c:v>
                </c:pt>
                <c:pt idx="3">
                  <c:v>0.11526736109686241</c:v>
                </c:pt>
                <c:pt idx="4">
                  <c:v>0.11731140524452573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C0-4332-BF5E-ED1FA68272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1338578480"/>
        <c:axId val="1338580880"/>
      </c:barChart>
      <c:catAx>
        <c:axId val="1338578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pt-BR"/>
          </a:p>
        </c:txPr>
        <c:crossAx val="1338580880"/>
        <c:crosses val="autoZero"/>
        <c:auto val="1"/>
        <c:lblAlgn val="ctr"/>
        <c:lblOffset val="100"/>
        <c:noMultiLvlLbl val="0"/>
      </c:catAx>
      <c:valAx>
        <c:axId val="1338580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pt-BR"/>
          </a:p>
        </c:txPr>
        <c:crossAx val="1338578480"/>
        <c:crosses val="autoZero"/>
        <c:crossBetween val="between"/>
        <c:majorUnit val="3.0000000000000006E-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 b="1">
          <a:latin typeface="Aptos" panose="020B0004020202020204" pitchFamily="34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'Cap 6 - Kilimanjaro'!$R$93</c:f>
              <c:strCache>
                <c:ptCount val="1"/>
                <c:pt idx="0">
                  <c:v>RoE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numRef>
              <c:f>'Cap 6 - Kilimanjaro'!$O$94:$O$98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'Cap 6 - Kilimanjaro'!$R$94:$R$98</c:f>
              <c:numCache>
                <c:formatCode>0.0%</c:formatCode>
                <c:ptCount val="5"/>
                <c:pt idx="0">
                  <c:v>0.22780585985700799</c:v>
                </c:pt>
                <c:pt idx="1">
                  <c:v>0.17361019606711947</c:v>
                </c:pt>
                <c:pt idx="2">
                  <c:v>-2.7759524995944147E-2</c:v>
                </c:pt>
                <c:pt idx="3">
                  <c:v>0.11713669753493922</c:v>
                </c:pt>
                <c:pt idx="4">
                  <c:v>0.21357486593815525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BC-4ACF-8636-1D5FD90FEE73}"/>
            </c:ext>
          </c:extLst>
        </c:ser>
        <c:ser>
          <c:idx val="1"/>
          <c:order val="1"/>
          <c:tx>
            <c:strRef>
              <c:f>'Cap 6 - Kilimanjaro'!$S$93</c:f>
              <c:strCache>
                <c:ptCount val="1"/>
                <c:pt idx="0">
                  <c:v>Rs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'Cap 6 - Kilimanjaro'!$O$94:$O$98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'Cap 6 - Kilimanjaro'!$S$94:$S$98</c:f>
              <c:numCache>
                <c:formatCode>0.0%</c:formatCode>
                <c:ptCount val="5"/>
                <c:pt idx="0">
                  <c:v>0.15715000000000001</c:v>
                </c:pt>
                <c:pt idx="1">
                  <c:v>0.15715000000000001</c:v>
                </c:pt>
                <c:pt idx="2">
                  <c:v>0.15715000000000001</c:v>
                </c:pt>
                <c:pt idx="3">
                  <c:v>0.15715000000000001</c:v>
                </c:pt>
                <c:pt idx="4">
                  <c:v>0.15715000000000001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6BC-4ACF-8636-1D5FD90FEE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1338578480"/>
        <c:axId val="1338580880"/>
      </c:barChart>
      <c:catAx>
        <c:axId val="1338578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pt-BR"/>
          </a:p>
        </c:txPr>
        <c:crossAx val="1338580880"/>
        <c:crosses val="autoZero"/>
        <c:auto val="1"/>
        <c:lblAlgn val="ctr"/>
        <c:lblOffset val="100"/>
        <c:noMultiLvlLbl val="0"/>
      </c:catAx>
      <c:valAx>
        <c:axId val="1338580880"/>
        <c:scaling>
          <c:orientation val="minMax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pt-BR"/>
          </a:p>
        </c:txPr>
        <c:crossAx val="1338578480"/>
        <c:crosses val="autoZero"/>
        <c:crossBetween val="between"/>
        <c:majorUnit val="5.000000000000001E-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 b="1">
          <a:latin typeface="Aptos" panose="020B0004020202020204" pitchFamily="34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'Cap 7 - Polaris'!$Y$2</c:f>
              <c:strCache>
                <c:ptCount val="1"/>
                <c:pt idx="0">
                  <c:v>Ebitda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D7E-4E17-9C2E-BD332ADEE245}"/>
              </c:ext>
            </c:extLst>
          </c:dPt>
          <c:dPt>
            <c:idx val="5"/>
            <c:invertIfNegative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9D7E-4E17-9C2E-BD332ADEE245}"/>
              </c:ext>
            </c:extLst>
          </c:dPt>
          <c:dPt>
            <c:idx val="10"/>
            <c:invertIfNegative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D7E-4E17-9C2E-BD332ADEE245}"/>
              </c:ext>
            </c:extLst>
          </c:dPt>
          <c:cat>
            <c:strRef>
              <c:f>'Cap 7 - Polaris'!$X$3:$X$17</c:f>
              <c:strCache>
                <c:ptCount val="15"/>
                <c:pt idx="0">
                  <c:v>Eqptos Elevação</c:v>
                </c:pt>
                <c:pt idx="1">
                  <c:v>SP</c:v>
                </c:pt>
                <c:pt idx="2">
                  <c:v>MG</c:v>
                </c:pt>
                <c:pt idx="3">
                  <c:v>MS</c:v>
                </c:pt>
                <c:pt idx="4">
                  <c:v>BA</c:v>
                </c:pt>
                <c:pt idx="5">
                  <c:v>Empilhadeiras</c:v>
                </c:pt>
                <c:pt idx="6">
                  <c:v>SP</c:v>
                </c:pt>
                <c:pt idx="7">
                  <c:v>MG</c:v>
                </c:pt>
                <c:pt idx="8">
                  <c:v>MS</c:v>
                </c:pt>
                <c:pt idx="9">
                  <c:v>BA</c:v>
                </c:pt>
                <c:pt idx="10">
                  <c:v>Geradores</c:v>
                </c:pt>
                <c:pt idx="11">
                  <c:v>SP</c:v>
                </c:pt>
                <c:pt idx="12">
                  <c:v>MG</c:v>
                </c:pt>
                <c:pt idx="13">
                  <c:v>MS</c:v>
                </c:pt>
                <c:pt idx="14">
                  <c:v>BA</c:v>
                </c:pt>
              </c:strCache>
            </c:strRef>
          </c:cat>
          <c:val>
            <c:numRef>
              <c:f>'Cap 7 - Polaris'!$Y$3:$Y$17</c:f>
              <c:numCache>
                <c:formatCode>#,##0.0</c:formatCode>
                <c:ptCount val="15"/>
                <c:pt idx="0">
                  <c:v>140</c:v>
                </c:pt>
                <c:pt idx="1">
                  <c:v>75</c:v>
                </c:pt>
                <c:pt idx="2">
                  <c:v>40</c:v>
                </c:pt>
                <c:pt idx="3">
                  <c:v>15</c:v>
                </c:pt>
                <c:pt idx="4">
                  <c:v>10</c:v>
                </c:pt>
                <c:pt idx="5">
                  <c:v>172</c:v>
                </c:pt>
                <c:pt idx="6">
                  <c:v>50</c:v>
                </c:pt>
                <c:pt idx="7">
                  <c:v>100</c:v>
                </c:pt>
                <c:pt idx="8">
                  <c:v>12</c:v>
                </c:pt>
                <c:pt idx="9">
                  <c:v>10</c:v>
                </c:pt>
                <c:pt idx="10">
                  <c:v>103</c:v>
                </c:pt>
                <c:pt idx="11">
                  <c:v>28</c:v>
                </c:pt>
                <c:pt idx="12">
                  <c:v>40</c:v>
                </c:pt>
                <c:pt idx="13">
                  <c:v>25</c:v>
                </c:pt>
                <c:pt idx="14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E-4E17-9C2E-BD332ADEE2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73175728"/>
        <c:axId val="73178608"/>
      </c:barChart>
      <c:catAx>
        <c:axId val="731757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pt-BR"/>
          </a:p>
        </c:txPr>
        <c:crossAx val="73178608"/>
        <c:crosses val="autoZero"/>
        <c:auto val="1"/>
        <c:lblAlgn val="ctr"/>
        <c:lblOffset val="100"/>
        <c:noMultiLvlLbl val="0"/>
      </c:catAx>
      <c:valAx>
        <c:axId val="731786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pt-BR"/>
          </a:p>
        </c:txPr>
        <c:crossAx val="731757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latin typeface="Aptos" panose="020B0004020202020204" pitchFamily="34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'Cap 7 - Polaris'!$Z$2</c:f>
              <c:strCache>
                <c:ptCount val="1"/>
                <c:pt idx="0">
                  <c:v>Mg Ebitda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FF7-45D3-B5EF-2286835A3198}"/>
              </c:ext>
            </c:extLst>
          </c:dPt>
          <c:dPt>
            <c:idx val="5"/>
            <c:invertIfNegative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FF7-45D3-B5EF-2286835A3198}"/>
              </c:ext>
            </c:extLst>
          </c:dPt>
          <c:dPt>
            <c:idx val="10"/>
            <c:invertIfNegative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FF7-45D3-B5EF-2286835A3198}"/>
              </c:ext>
            </c:extLst>
          </c:dPt>
          <c:cat>
            <c:strRef>
              <c:f>'Cap 7 - Polaris'!$X$3:$X$17</c:f>
              <c:strCache>
                <c:ptCount val="15"/>
                <c:pt idx="0">
                  <c:v>Eqptos Elevação</c:v>
                </c:pt>
                <c:pt idx="1">
                  <c:v>SP</c:v>
                </c:pt>
                <c:pt idx="2">
                  <c:v>MG</c:v>
                </c:pt>
                <c:pt idx="3">
                  <c:v>MS</c:v>
                </c:pt>
                <c:pt idx="4">
                  <c:v>BA</c:v>
                </c:pt>
                <c:pt idx="5">
                  <c:v>Empilhadeiras</c:v>
                </c:pt>
                <c:pt idx="6">
                  <c:v>SP</c:v>
                </c:pt>
                <c:pt idx="7">
                  <c:v>MG</c:v>
                </c:pt>
                <c:pt idx="8">
                  <c:v>MS</c:v>
                </c:pt>
                <c:pt idx="9">
                  <c:v>BA</c:v>
                </c:pt>
                <c:pt idx="10">
                  <c:v>Geradores</c:v>
                </c:pt>
                <c:pt idx="11">
                  <c:v>SP</c:v>
                </c:pt>
                <c:pt idx="12">
                  <c:v>MG</c:v>
                </c:pt>
                <c:pt idx="13">
                  <c:v>MS</c:v>
                </c:pt>
                <c:pt idx="14">
                  <c:v>BA</c:v>
                </c:pt>
              </c:strCache>
            </c:strRef>
          </c:cat>
          <c:val>
            <c:numRef>
              <c:f>'Cap 7 - Polaris'!$Z$3:$Z$17</c:f>
              <c:numCache>
                <c:formatCode>0.0%</c:formatCode>
                <c:ptCount val="15"/>
                <c:pt idx="0">
                  <c:v>0.4375</c:v>
                </c:pt>
                <c:pt idx="1">
                  <c:v>0.5</c:v>
                </c:pt>
                <c:pt idx="2">
                  <c:v>0.4</c:v>
                </c:pt>
                <c:pt idx="3">
                  <c:v>0.5</c:v>
                </c:pt>
                <c:pt idx="4">
                  <c:v>0.25</c:v>
                </c:pt>
                <c:pt idx="5">
                  <c:v>0.28666666666666668</c:v>
                </c:pt>
                <c:pt idx="6">
                  <c:v>0.25</c:v>
                </c:pt>
                <c:pt idx="7">
                  <c:v>0.33333333333333331</c:v>
                </c:pt>
                <c:pt idx="8">
                  <c:v>0.24</c:v>
                </c:pt>
                <c:pt idx="9">
                  <c:v>0.2</c:v>
                </c:pt>
                <c:pt idx="10">
                  <c:v>0.58857142857142852</c:v>
                </c:pt>
                <c:pt idx="11">
                  <c:v>0.56000000000000005</c:v>
                </c:pt>
                <c:pt idx="12">
                  <c:v>0.66666666666666663</c:v>
                </c:pt>
                <c:pt idx="13">
                  <c:v>0.625</c:v>
                </c:pt>
                <c:pt idx="14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FF7-45D3-B5EF-2286835A31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73175728"/>
        <c:axId val="73178608"/>
      </c:barChart>
      <c:catAx>
        <c:axId val="7317572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73178608"/>
        <c:crosses val="autoZero"/>
        <c:auto val="1"/>
        <c:lblAlgn val="ctr"/>
        <c:lblOffset val="100"/>
        <c:noMultiLvlLbl val="0"/>
      </c:catAx>
      <c:valAx>
        <c:axId val="73178608"/>
        <c:scaling>
          <c:orientation val="minMax"/>
          <c:max val="0.8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pt-BR"/>
          </a:p>
        </c:txPr>
        <c:crossAx val="731757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latin typeface="Aptos" panose="020B0004020202020204" pitchFamily="34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'Cap 7 - Polaris'!$AA$2</c:f>
              <c:strCache>
                <c:ptCount val="1"/>
                <c:pt idx="0">
                  <c:v>RoIC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DF2-4240-85DF-9B6EA860EE1E}"/>
              </c:ext>
            </c:extLst>
          </c:dPt>
          <c:dPt>
            <c:idx val="5"/>
            <c:invertIfNegative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DF2-4240-85DF-9B6EA860EE1E}"/>
              </c:ext>
            </c:extLst>
          </c:dPt>
          <c:dPt>
            <c:idx val="10"/>
            <c:invertIfNegative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DF2-4240-85DF-9B6EA860EE1E}"/>
              </c:ext>
            </c:extLst>
          </c:dPt>
          <c:cat>
            <c:strRef>
              <c:f>'Cap 7 - Polaris'!$X$3:$X$17</c:f>
              <c:strCache>
                <c:ptCount val="15"/>
                <c:pt idx="0">
                  <c:v>Eqptos Elevação</c:v>
                </c:pt>
                <c:pt idx="1">
                  <c:v>SP</c:v>
                </c:pt>
                <c:pt idx="2">
                  <c:v>MG</c:v>
                </c:pt>
                <c:pt idx="3">
                  <c:v>MS</c:v>
                </c:pt>
                <c:pt idx="4">
                  <c:v>BA</c:v>
                </c:pt>
                <c:pt idx="5">
                  <c:v>Empilhadeiras</c:v>
                </c:pt>
                <c:pt idx="6">
                  <c:v>SP</c:v>
                </c:pt>
                <c:pt idx="7">
                  <c:v>MG</c:v>
                </c:pt>
                <c:pt idx="8">
                  <c:v>MS</c:v>
                </c:pt>
                <c:pt idx="9">
                  <c:v>BA</c:v>
                </c:pt>
                <c:pt idx="10">
                  <c:v>Geradores</c:v>
                </c:pt>
                <c:pt idx="11">
                  <c:v>SP</c:v>
                </c:pt>
                <c:pt idx="12">
                  <c:v>MG</c:v>
                </c:pt>
                <c:pt idx="13">
                  <c:v>MS</c:v>
                </c:pt>
                <c:pt idx="14">
                  <c:v>BA</c:v>
                </c:pt>
              </c:strCache>
            </c:strRef>
          </c:cat>
          <c:val>
            <c:numRef>
              <c:f>'Cap 7 - Polaris'!$AA$3:$AA$17</c:f>
              <c:numCache>
                <c:formatCode>0%</c:formatCode>
                <c:ptCount val="15"/>
                <c:pt idx="0">
                  <c:v>0.16442394014962594</c:v>
                </c:pt>
                <c:pt idx="1">
                  <c:v>0.18149999999999999</c:v>
                </c:pt>
                <c:pt idx="2">
                  <c:v>0.19799999999999998</c:v>
                </c:pt>
                <c:pt idx="3">
                  <c:v>0.13200000000000001</c:v>
                </c:pt>
                <c:pt idx="4">
                  <c:v>6.3411764705882334E-2</c:v>
                </c:pt>
                <c:pt idx="5">
                  <c:v>9.9722627737226233E-2</c:v>
                </c:pt>
                <c:pt idx="6">
                  <c:v>6.5999999999999989E-2</c:v>
                </c:pt>
                <c:pt idx="7">
                  <c:v>0.19799999999999998</c:v>
                </c:pt>
                <c:pt idx="8">
                  <c:v>1.3199999999999998E-2</c:v>
                </c:pt>
                <c:pt idx="9">
                  <c:v>1.164705882352941E-2</c:v>
                </c:pt>
                <c:pt idx="10">
                  <c:v>0.25018604651162785</c:v>
                </c:pt>
                <c:pt idx="11">
                  <c:v>0.24199999999999997</c:v>
                </c:pt>
                <c:pt idx="12">
                  <c:v>0.26399999999999996</c:v>
                </c:pt>
                <c:pt idx="13">
                  <c:v>0.30066666666666664</c:v>
                </c:pt>
                <c:pt idx="14">
                  <c:v>0.15399999999999997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DF2-4240-85DF-9B6EA860EE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73175728"/>
        <c:axId val="73178608"/>
      </c:barChart>
      <c:catAx>
        <c:axId val="7317572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73178608"/>
        <c:crosses val="autoZero"/>
        <c:auto val="1"/>
        <c:lblAlgn val="ctr"/>
        <c:lblOffset val="100"/>
        <c:noMultiLvlLbl val="0"/>
      </c:catAx>
      <c:valAx>
        <c:axId val="73178608"/>
        <c:scaling>
          <c:orientation val="minMax"/>
          <c:max val="0.3000000000000000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pt-BR"/>
          </a:p>
        </c:txPr>
        <c:crossAx val="731757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latin typeface="Aptos" panose="020B0004020202020204" pitchFamily="34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r>
              <a:rPr lang="pt-BR"/>
              <a:t>RoIC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'Cap 8 -Moinho'!$J$18</c:f>
              <c:strCache>
                <c:ptCount val="1"/>
                <c:pt idx="0">
                  <c:v>Inicial</c:v>
                </c:pt>
              </c:strCache>
            </c:strRef>
          </c:tx>
          <c:spPr>
            <a:solidFill>
              <a:schemeClr val="accent3">
                <a:shade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'Cap 8 -Moinho'!$K$17:$O$17</c:f>
              <c:strCache>
                <c:ptCount val="5"/>
                <c:pt idx="0">
                  <c:v>2023</c:v>
                </c:pt>
                <c:pt idx="1">
                  <c:v>Esperado</c:v>
                </c:pt>
                <c:pt idx="2">
                  <c:v>Pessimista</c:v>
                </c:pt>
                <c:pt idx="3">
                  <c:v>Otimista</c:v>
                </c:pt>
                <c:pt idx="4">
                  <c:v>Aporte</c:v>
                </c:pt>
              </c:strCache>
            </c:strRef>
          </c:cat>
          <c:val>
            <c:numRef>
              <c:f>'Cap 8 -Moinho'!$K$18:$O$18</c:f>
              <c:numCache>
                <c:formatCode>0.0%</c:formatCode>
                <c:ptCount val="5"/>
                <c:pt idx="0">
                  <c:v>0.27295714285714284</c:v>
                </c:pt>
                <c:pt idx="1">
                  <c:v>0.27295714285714284</c:v>
                </c:pt>
                <c:pt idx="2">
                  <c:v>0.17867142857142856</c:v>
                </c:pt>
                <c:pt idx="3">
                  <c:v>0.3201</c:v>
                </c:pt>
                <c:pt idx="4">
                  <c:v>0.30359999999999998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9C-430D-83DE-1FB9E7731EC6}"/>
            </c:ext>
          </c:extLst>
        </c:ser>
        <c:ser>
          <c:idx val="1"/>
          <c:order val="1"/>
          <c:tx>
            <c:strRef>
              <c:f>'Cap 8 -Moinho'!$J$19</c:f>
              <c:strCache>
                <c:ptCount val="1"/>
                <c:pt idx="0">
                  <c:v>IPO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A9C-430D-83DE-1FB9E7731EC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'Cap 8 -Moinho'!$K$17:$O$17</c:f>
              <c:strCache>
                <c:ptCount val="5"/>
                <c:pt idx="0">
                  <c:v>2023</c:v>
                </c:pt>
                <c:pt idx="1">
                  <c:v>Esperado</c:v>
                </c:pt>
                <c:pt idx="2">
                  <c:v>Pessimista</c:v>
                </c:pt>
                <c:pt idx="3">
                  <c:v>Otimista</c:v>
                </c:pt>
                <c:pt idx="4">
                  <c:v>Aporte</c:v>
                </c:pt>
              </c:strCache>
            </c:strRef>
          </c:cat>
          <c:val>
            <c:numRef>
              <c:f>'Cap 8 -Moinho'!$K$19:$O$19</c:f>
              <c:numCache>
                <c:formatCode>0.0%</c:formatCode>
                <c:ptCount val="5"/>
                <c:pt idx="0">
                  <c:v>0.21229999999999999</c:v>
                </c:pt>
                <c:pt idx="1">
                  <c:v>0.21229999999999999</c:v>
                </c:pt>
                <c:pt idx="2">
                  <c:v>0.13896666666666666</c:v>
                </c:pt>
                <c:pt idx="3">
                  <c:v>0.24896666666666667</c:v>
                </c:pt>
                <c:pt idx="4">
                  <c:v>0.18215999999999999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9C-430D-83DE-1FB9E7731EC6}"/>
            </c:ext>
          </c:extLst>
        </c:ser>
        <c:ser>
          <c:idx val="2"/>
          <c:order val="2"/>
          <c:tx>
            <c:strRef>
              <c:f>'Cap 8 -Moinho'!$J$20</c:f>
              <c:strCache>
                <c:ptCount val="1"/>
                <c:pt idx="0">
                  <c:v>Justo</c:v>
                </c:pt>
              </c:strCache>
            </c:strRef>
          </c:tx>
          <c:spPr>
            <a:solidFill>
              <a:schemeClr val="accent3">
                <a:tint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'Cap 8 -Moinho'!$K$17:$O$17</c:f>
              <c:strCache>
                <c:ptCount val="5"/>
                <c:pt idx="0">
                  <c:v>2023</c:v>
                </c:pt>
                <c:pt idx="1">
                  <c:v>Esperado</c:v>
                </c:pt>
                <c:pt idx="2">
                  <c:v>Pessimista</c:v>
                </c:pt>
                <c:pt idx="3">
                  <c:v>Otimista</c:v>
                </c:pt>
                <c:pt idx="4">
                  <c:v>Aporte</c:v>
                </c:pt>
              </c:strCache>
            </c:strRef>
          </c:cat>
          <c:val>
            <c:numRef>
              <c:f>'Cap 8 -Moinho'!$K$20:$O$20</c:f>
              <c:numCache>
                <c:formatCode>0.0%</c:formatCode>
                <c:ptCount val="5"/>
                <c:pt idx="0">
                  <c:v>0.16570714285714286</c:v>
                </c:pt>
                <c:pt idx="1">
                  <c:v>0.16570714285714286</c:v>
                </c:pt>
                <c:pt idx="2">
                  <c:v>0.1657071428571428</c:v>
                </c:pt>
                <c:pt idx="3">
                  <c:v>0.16570714285714283</c:v>
                </c:pt>
                <c:pt idx="4">
                  <c:v>0.18191249999999998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A9C-430D-83DE-1FB9E7731EC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140675072"/>
        <c:axId val="1871834832"/>
      </c:barChart>
      <c:catAx>
        <c:axId val="2140675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pt-BR"/>
          </a:p>
        </c:txPr>
        <c:crossAx val="1871834832"/>
        <c:crosses val="autoZero"/>
        <c:auto val="1"/>
        <c:lblAlgn val="ctr"/>
        <c:lblOffset val="100"/>
        <c:noMultiLvlLbl val="0"/>
      </c:catAx>
      <c:valAx>
        <c:axId val="1871834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pt-BR"/>
          </a:p>
        </c:txPr>
        <c:crossAx val="2140675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="1">
          <a:latin typeface="Aptos" panose="020B00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pt-BR" b="1">
                <a:latin typeface="Times New Roman" panose="02020603050405020304" pitchFamily="18" charset="0"/>
                <a:cs typeface="Times New Roman" panose="02020603050405020304" pitchFamily="18" charset="0"/>
              </a:rPr>
              <a:t>Alavancagem do LPA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'Cap 4  - M&amp;M'!$AB$7</c:f>
              <c:strCache>
                <c:ptCount val="1"/>
                <c:pt idx="0">
                  <c:v>LPA sem dívida</c:v>
                </c:pt>
              </c:strCache>
            </c:strRef>
          </c:tx>
          <c:spPr>
            <a:ln w="38100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'Cap 4  - M&amp;M'!$AC$6:$AI$6</c:f>
              <c:numCache>
                <c:formatCode>#,##0</c:formatCode>
                <c:ptCount val="7"/>
                <c:pt idx="0">
                  <c:v>0</c:v>
                </c:pt>
                <c:pt idx="1">
                  <c:v>50000</c:v>
                </c:pt>
                <c:pt idx="2">
                  <c:v>100000</c:v>
                </c:pt>
                <c:pt idx="3">
                  <c:v>150000</c:v>
                </c:pt>
                <c:pt idx="4">
                  <c:v>200000</c:v>
                </c:pt>
                <c:pt idx="5">
                  <c:v>250000</c:v>
                </c:pt>
                <c:pt idx="6">
                  <c:v>300000</c:v>
                </c:pt>
              </c:numCache>
            </c:numRef>
          </c:cat>
          <c:val>
            <c:numRef>
              <c:f>'Cap 4  - M&amp;M'!$AC$7:$AI$7</c:f>
              <c:numCache>
                <c:formatCode>#,##0.00</c:formatCode>
                <c:ptCount val="7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81-438E-8D9A-2276FEF3F2F1}"/>
            </c:ext>
          </c:extLst>
        </c:ser>
        <c:ser>
          <c:idx val="1"/>
          <c:order val="1"/>
          <c:tx>
            <c:strRef>
              <c:f>'Cap 4  - M&amp;M'!$AB$8</c:f>
              <c:strCache>
                <c:ptCount val="1"/>
                <c:pt idx="0">
                  <c:v>LPA dívida $500m</c:v>
                </c:pt>
              </c:strCache>
            </c:strRef>
          </c:tx>
          <c:spPr>
            <a:ln w="38100" cap="rnd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'Cap 4  - M&amp;M'!$AC$6:$AI$6</c:f>
              <c:numCache>
                <c:formatCode>#,##0</c:formatCode>
                <c:ptCount val="7"/>
                <c:pt idx="0">
                  <c:v>0</c:v>
                </c:pt>
                <c:pt idx="1">
                  <c:v>50000</c:v>
                </c:pt>
                <c:pt idx="2">
                  <c:v>100000</c:v>
                </c:pt>
                <c:pt idx="3">
                  <c:v>150000</c:v>
                </c:pt>
                <c:pt idx="4">
                  <c:v>200000</c:v>
                </c:pt>
                <c:pt idx="5">
                  <c:v>250000</c:v>
                </c:pt>
                <c:pt idx="6">
                  <c:v>300000</c:v>
                </c:pt>
              </c:numCache>
            </c:numRef>
          </c:cat>
          <c:val>
            <c:numRef>
              <c:f>'Cap 4  - M&amp;M'!$AC$8:$AI$8</c:f>
              <c:numCache>
                <c:formatCode>#,##0.00</c:formatCode>
                <c:ptCount val="7"/>
                <c:pt idx="0">
                  <c:v>-0.4</c:v>
                </c:pt>
                <c:pt idx="1">
                  <c:v>-0.2</c:v>
                </c:pt>
                <c:pt idx="2">
                  <c:v>0</c:v>
                </c:pt>
                <c:pt idx="3">
                  <c:v>0.2</c:v>
                </c:pt>
                <c:pt idx="4">
                  <c:v>0.4</c:v>
                </c:pt>
                <c:pt idx="5">
                  <c:v>0.6</c:v>
                </c:pt>
                <c:pt idx="6">
                  <c:v>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81-438E-8D9A-2276FEF3F2F1}"/>
            </c:ext>
          </c:extLst>
        </c:ser>
        <c:ser>
          <c:idx val="2"/>
          <c:order val="2"/>
          <c:tx>
            <c:strRef>
              <c:f>'Cap 4  - M&amp;M'!$AB$9</c:f>
              <c:strCache>
                <c:ptCount val="1"/>
                <c:pt idx="0">
                  <c:v>LPA dívida $600m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'Cap 4  - M&amp;M'!$AC$6:$AI$6</c:f>
              <c:numCache>
                <c:formatCode>#,##0</c:formatCode>
                <c:ptCount val="7"/>
                <c:pt idx="0">
                  <c:v>0</c:v>
                </c:pt>
                <c:pt idx="1">
                  <c:v>50000</c:v>
                </c:pt>
                <c:pt idx="2">
                  <c:v>100000</c:v>
                </c:pt>
                <c:pt idx="3">
                  <c:v>150000</c:v>
                </c:pt>
                <c:pt idx="4">
                  <c:v>200000</c:v>
                </c:pt>
                <c:pt idx="5">
                  <c:v>250000</c:v>
                </c:pt>
                <c:pt idx="6">
                  <c:v>300000</c:v>
                </c:pt>
              </c:numCache>
            </c:numRef>
          </c:cat>
          <c:val>
            <c:numRef>
              <c:f>'Cap 4  - M&amp;M'!$AC$9:$AI$9</c:f>
              <c:numCache>
                <c:formatCode>#,##0.00</c:formatCode>
                <c:ptCount val="7"/>
                <c:pt idx="0">
                  <c:v>-0.6</c:v>
                </c:pt>
                <c:pt idx="1">
                  <c:v>-0.35</c:v>
                </c:pt>
                <c:pt idx="2">
                  <c:v>-0.1</c:v>
                </c:pt>
                <c:pt idx="3">
                  <c:v>0.15</c:v>
                </c:pt>
                <c:pt idx="4">
                  <c:v>0.4</c:v>
                </c:pt>
                <c:pt idx="5">
                  <c:v>0.65</c:v>
                </c:pt>
                <c:pt idx="6">
                  <c:v>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81-438E-8D9A-2276FEF3F2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65966415"/>
        <c:axId val="2065967247"/>
      </c:lineChart>
      <c:catAx>
        <c:axId val="206596641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2065967247"/>
        <c:crosses val="autoZero"/>
        <c:auto val="1"/>
        <c:lblAlgn val="ctr"/>
        <c:lblOffset val="100"/>
        <c:noMultiLvlLbl val="0"/>
      </c:catAx>
      <c:valAx>
        <c:axId val="20659672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2065966415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r>
              <a:rPr lang="pt-BR"/>
              <a:t>Preço por Ação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'Cap 8 -Moinho'!$J$31</c:f>
              <c:strCache>
                <c:ptCount val="1"/>
                <c:pt idx="0">
                  <c:v>Inicial</c:v>
                </c:pt>
              </c:strCache>
            </c:strRef>
          </c:tx>
          <c:spPr>
            <a:solidFill>
              <a:schemeClr val="accent3">
                <a:shade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'Cap 8 -Moinho'!$K$30:$O$30</c:f>
              <c:strCache>
                <c:ptCount val="5"/>
                <c:pt idx="0">
                  <c:v>2023</c:v>
                </c:pt>
                <c:pt idx="1">
                  <c:v>Esperado</c:v>
                </c:pt>
                <c:pt idx="2">
                  <c:v>Pessimista</c:v>
                </c:pt>
                <c:pt idx="3">
                  <c:v>Otimista</c:v>
                </c:pt>
                <c:pt idx="4">
                  <c:v>Aporte</c:v>
                </c:pt>
              </c:strCache>
            </c:strRef>
          </c:cat>
          <c:val>
            <c:numRef>
              <c:f>'Cap 8 -Moinho'!$K$31:$O$31</c:f>
              <c:numCache>
                <c:formatCode>#,##0.00</c:formatCode>
                <c:ptCount val="5"/>
                <c:pt idx="0">
                  <c:v>8</c:v>
                </c:pt>
                <c:pt idx="1">
                  <c:v>8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FF-4CC7-876E-41A143F8456A}"/>
            </c:ext>
          </c:extLst>
        </c:ser>
        <c:ser>
          <c:idx val="1"/>
          <c:order val="1"/>
          <c:tx>
            <c:strRef>
              <c:f>'Cap 8 -Moinho'!$J$32</c:f>
              <c:strCache>
                <c:ptCount val="1"/>
                <c:pt idx="0">
                  <c:v>IPO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'Cap 8 -Moinho'!$K$30:$O$30</c:f>
              <c:strCache>
                <c:ptCount val="5"/>
                <c:pt idx="0">
                  <c:v>2023</c:v>
                </c:pt>
                <c:pt idx="1">
                  <c:v>Esperado</c:v>
                </c:pt>
                <c:pt idx="2">
                  <c:v>Pessimista</c:v>
                </c:pt>
                <c:pt idx="3">
                  <c:v>Otimista</c:v>
                </c:pt>
                <c:pt idx="4">
                  <c:v>Aporte</c:v>
                </c:pt>
              </c:strCache>
            </c:strRef>
          </c:cat>
          <c:val>
            <c:numRef>
              <c:f>'Cap 8 -Moinho'!$K$32:$O$32</c:f>
              <c:numCache>
                <c:formatCode>#,##0.00</c:formatCode>
                <c:ptCount val="5"/>
                <c:pt idx="0">
                  <c:v>12</c:v>
                </c:pt>
                <c:pt idx="1">
                  <c:v>12</c:v>
                </c:pt>
                <c:pt idx="2">
                  <c:v>12</c:v>
                </c:pt>
                <c:pt idx="3">
                  <c:v>12</c:v>
                </c:pt>
                <c:pt idx="4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FF-4CC7-876E-41A143F8456A}"/>
            </c:ext>
          </c:extLst>
        </c:ser>
        <c:ser>
          <c:idx val="2"/>
          <c:order val="2"/>
          <c:tx>
            <c:strRef>
              <c:f>'Cap 8 -Moinho'!$J$33</c:f>
              <c:strCache>
                <c:ptCount val="1"/>
                <c:pt idx="0">
                  <c:v>Justo</c:v>
                </c:pt>
              </c:strCache>
            </c:strRef>
          </c:tx>
          <c:spPr>
            <a:solidFill>
              <a:schemeClr val="accent3">
                <a:tint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'Cap 8 -Moinho'!$K$30:$O$30</c:f>
              <c:strCache>
                <c:ptCount val="5"/>
                <c:pt idx="0">
                  <c:v>2023</c:v>
                </c:pt>
                <c:pt idx="1">
                  <c:v>Esperado</c:v>
                </c:pt>
                <c:pt idx="2">
                  <c:v>Pessimista</c:v>
                </c:pt>
                <c:pt idx="3">
                  <c:v>Otimista</c:v>
                </c:pt>
                <c:pt idx="4">
                  <c:v>Aporte</c:v>
                </c:pt>
              </c:strCache>
            </c:strRef>
          </c:cat>
          <c:val>
            <c:numRef>
              <c:f>'Cap 8 -Moinho'!$K$33:$O$33</c:f>
              <c:numCache>
                <c:formatCode>#,##0.00</c:formatCode>
                <c:ptCount val="5"/>
                <c:pt idx="0">
                  <c:v>17.061166429587484</c:v>
                </c:pt>
                <c:pt idx="1">
                  <c:v>17.061166429587484</c:v>
                </c:pt>
                <c:pt idx="2">
                  <c:v>9.0953058321479396</c:v>
                </c:pt>
                <c:pt idx="3">
                  <c:v>21.04409672830726</c:v>
                </c:pt>
                <c:pt idx="4">
                  <c:v>17.027210884353742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FF-4CC7-876E-41A143F8456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930988608"/>
        <c:axId val="753957968"/>
      </c:barChart>
      <c:catAx>
        <c:axId val="930988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pt-BR"/>
          </a:p>
        </c:txPr>
        <c:crossAx val="753957968"/>
        <c:crosses val="autoZero"/>
        <c:auto val="1"/>
        <c:lblAlgn val="ctr"/>
        <c:lblOffset val="100"/>
        <c:noMultiLvlLbl val="0"/>
      </c:catAx>
      <c:valAx>
        <c:axId val="753957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pt-BR"/>
          </a:p>
        </c:txPr>
        <c:crossAx val="930988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="1">
          <a:latin typeface="Aptos" panose="020B00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r>
              <a:rPr lang="pt-BR"/>
              <a:t>LAJIR</a:t>
            </a:r>
            <a:r>
              <a:rPr lang="pt-BR" baseline="0"/>
              <a:t> x Lucro</a:t>
            </a:r>
            <a:endParaRPr lang="pt-B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'Cap 5 - Elektra'!$E$6</c:f>
              <c:strCache>
                <c:ptCount val="1"/>
                <c:pt idx="0">
                  <c:v>LAJIR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'Cap 5 - Elektra'!$C$7:$C$23</c:f>
              <c:numCache>
                <c:formatCode>0%</c:formatCode>
                <c:ptCount val="17"/>
                <c:pt idx="0">
                  <c:v>0</c:v>
                </c:pt>
                <c:pt idx="1">
                  <c:v>5.0000000000000044E-2</c:v>
                </c:pt>
                <c:pt idx="2">
                  <c:v>0.10000000000000009</c:v>
                </c:pt>
                <c:pt idx="3">
                  <c:v>0.15000000000000013</c:v>
                </c:pt>
                <c:pt idx="4">
                  <c:v>0.20000000000000018</c:v>
                </c:pt>
                <c:pt idx="5">
                  <c:v>0.25000000000000022</c:v>
                </c:pt>
                <c:pt idx="6">
                  <c:v>0.30000000000000027</c:v>
                </c:pt>
                <c:pt idx="7">
                  <c:v>0.35000000000000031</c:v>
                </c:pt>
                <c:pt idx="8">
                  <c:v>0.40000000000000036</c:v>
                </c:pt>
                <c:pt idx="9">
                  <c:v>0.4500000000000004</c:v>
                </c:pt>
                <c:pt idx="10">
                  <c:v>0.50000000000000044</c:v>
                </c:pt>
                <c:pt idx="11">
                  <c:v>0.55000000000000038</c:v>
                </c:pt>
                <c:pt idx="12">
                  <c:v>0.60000000000000031</c:v>
                </c:pt>
                <c:pt idx="13">
                  <c:v>0.65000000000000036</c:v>
                </c:pt>
                <c:pt idx="14">
                  <c:v>0.7000000000000004</c:v>
                </c:pt>
                <c:pt idx="15">
                  <c:v>0.75000000000000033</c:v>
                </c:pt>
                <c:pt idx="16">
                  <c:v>0.80000000000000027</c:v>
                </c:pt>
              </c:numCache>
            </c:numRef>
          </c:cat>
          <c:val>
            <c:numRef>
              <c:f>'Cap 5 - Elektra'!$E$7:$E$23</c:f>
              <c:numCache>
                <c:formatCode>#,##0.00</c:formatCode>
                <c:ptCount val="17"/>
                <c:pt idx="0">
                  <c:v>550</c:v>
                </c:pt>
                <c:pt idx="1">
                  <c:v>550</c:v>
                </c:pt>
                <c:pt idx="2">
                  <c:v>550</c:v>
                </c:pt>
                <c:pt idx="3">
                  <c:v>550</c:v>
                </c:pt>
                <c:pt idx="4">
                  <c:v>550</c:v>
                </c:pt>
                <c:pt idx="5">
                  <c:v>550</c:v>
                </c:pt>
                <c:pt idx="6">
                  <c:v>550</c:v>
                </c:pt>
                <c:pt idx="7">
                  <c:v>550</c:v>
                </c:pt>
                <c:pt idx="8">
                  <c:v>550</c:v>
                </c:pt>
                <c:pt idx="9">
                  <c:v>550</c:v>
                </c:pt>
                <c:pt idx="10">
                  <c:v>550</c:v>
                </c:pt>
                <c:pt idx="11">
                  <c:v>550</c:v>
                </c:pt>
                <c:pt idx="12">
                  <c:v>550</c:v>
                </c:pt>
                <c:pt idx="13">
                  <c:v>550</c:v>
                </c:pt>
                <c:pt idx="14">
                  <c:v>550</c:v>
                </c:pt>
                <c:pt idx="15">
                  <c:v>550</c:v>
                </c:pt>
                <c:pt idx="16">
                  <c:v>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AC-4DB1-A26F-FF25629D34C4}"/>
            </c:ext>
          </c:extLst>
        </c:ser>
        <c:ser>
          <c:idx val="1"/>
          <c:order val="1"/>
          <c:tx>
            <c:strRef>
              <c:f>'Cap 5 - Elektra'!$F$6</c:f>
              <c:strCache>
                <c:ptCount val="1"/>
                <c:pt idx="0">
                  <c:v>Lucro</c:v>
                </c:pt>
              </c:strCache>
            </c:strRef>
          </c:tx>
          <c:spPr>
            <a:ln w="38100" cap="rnd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'Cap 5 - Elektra'!$C$7:$C$23</c:f>
              <c:numCache>
                <c:formatCode>0%</c:formatCode>
                <c:ptCount val="17"/>
                <c:pt idx="0">
                  <c:v>0</c:v>
                </c:pt>
                <c:pt idx="1">
                  <c:v>5.0000000000000044E-2</c:v>
                </c:pt>
                <c:pt idx="2">
                  <c:v>0.10000000000000009</c:v>
                </c:pt>
                <c:pt idx="3">
                  <c:v>0.15000000000000013</c:v>
                </c:pt>
                <c:pt idx="4">
                  <c:v>0.20000000000000018</c:v>
                </c:pt>
                <c:pt idx="5">
                  <c:v>0.25000000000000022</c:v>
                </c:pt>
                <c:pt idx="6">
                  <c:v>0.30000000000000027</c:v>
                </c:pt>
                <c:pt idx="7">
                  <c:v>0.35000000000000031</c:v>
                </c:pt>
                <c:pt idx="8">
                  <c:v>0.40000000000000036</c:v>
                </c:pt>
                <c:pt idx="9">
                  <c:v>0.4500000000000004</c:v>
                </c:pt>
                <c:pt idx="10">
                  <c:v>0.50000000000000044</c:v>
                </c:pt>
                <c:pt idx="11">
                  <c:v>0.55000000000000038</c:v>
                </c:pt>
                <c:pt idx="12">
                  <c:v>0.60000000000000031</c:v>
                </c:pt>
                <c:pt idx="13">
                  <c:v>0.65000000000000036</c:v>
                </c:pt>
                <c:pt idx="14">
                  <c:v>0.7000000000000004</c:v>
                </c:pt>
                <c:pt idx="15">
                  <c:v>0.75000000000000033</c:v>
                </c:pt>
                <c:pt idx="16">
                  <c:v>0.80000000000000027</c:v>
                </c:pt>
              </c:numCache>
            </c:numRef>
          </c:cat>
          <c:val>
            <c:numRef>
              <c:f>'Cap 5 - Elektra'!$F$7:$F$23</c:f>
              <c:numCache>
                <c:formatCode>#,##0.00</c:formatCode>
                <c:ptCount val="17"/>
                <c:pt idx="0">
                  <c:v>363</c:v>
                </c:pt>
                <c:pt idx="1">
                  <c:v>354.33749999999998</c:v>
                </c:pt>
                <c:pt idx="2">
                  <c:v>345.67499999999995</c:v>
                </c:pt>
                <c:pt idx="3">
                  <c:v>337.01249999999993</c:v>
                </c:pt>
                <c:pt idx="4">
                  <c:v>328.34999999999991</c:v>
                </c:pt>
                <c:pt idx="5">
                  <c:v>319.68749999999994</c:v>
                </c:pt>
                <c:pt idx="6">
                  <c:v>311.02499999999992</c:v>
                </c:pt>
                <c:pt idx="7">
                  <c:v>299.47499999999991</c:v>
                </c:pt>
                <c:pt idx="8">
                  <c:v>290.39999999999992</c:v>
                </c:pt>
                <c:pt idx="9">
                  <c:v>281.32499999999993</c:v>
                </c:pt>
                <c:pt idx="10">
                  <c:v>272.24999999999989</c:v>
                </c:pt>
                <c:pt idx="11">
                  <c:v>254.09999999999991</c:v>
                </c:pt>
                <c:pt idx="12">
                  <c:v>234.2999999999999</c:v>
                </c:pt>
                <c:pt idx="13">
                  <c:v>202.12499999999989</c:v>
                </c:pt>
                <c:pt idx="14">
                  <c:v>155.09999999999985</c:v>
                </c:pt>
                <c:pt idx="15">
                  <c:v>103.12499999999984</c:v>
                </c:pt>
                <c:pt idx="16">
                  <c:v>46.199999999999847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AC-4DB1-A26F-FF25629D34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61994719"/>
        <c:axId val="1561998559"/>
      </c:lineChart>
      <c:catAx>
        <c:axId val="156199471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r>
                  <a:rPr lang="pt-BR"/>
                  <a:t>D / (D + E)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ptos" panose="020B0004020202020204" pitchFamily="34" charset="0"/>
                  <a:ea typeface="+mn-ea"/>
                  <a:cs typeface="+mn-cs"/>
                </a:defRPr>
              </a:pPr>
              <a:endParaRPr lang="pt-BR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pt-BR"/>
          </a:p>
        </c:txPr>
        <c:crossAx val="1561998559"/>
        <c:crosses val="autoZero"/>
        <c:auto val="1"/>
        <c:lblAlgn val="ctr"/>
        <c:lblOffset val="100"/>
        <c:noMultiLvlLbl val="0"/>
      </c:catAx>
      <c:valAx>
        <c:axId val="15619985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pt-BR"/>
          </a:p>
        </c:txPr>
        <c:crossAx val="1561994719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1">
          <a:latin typeface="Aptos" panose="020B0004020202020204" pitchFamily="34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r>
              <a:rPr lang="pt-BR"/>
              <a:t>PL (E) x Dívida (D)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'Cap 5 - Elektra'!$G$6</c:f>
              <c:strCache>
                <c:ptCount val="1"/>
                <c:pt idx="0">
                  <c:v>PL</c:v>
                </c:pt>
              </c:strCache>
            </c:strRef>
          </c:tx>
          <c:spPr>
            <a:ln w="38100" cap="rnd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'Cap 5 - Elektra'!$C$7:$C$23</c:f>
              <c:numCache>
                <c:formatCode>0%</c:formatCode>
                <c:ptCount val="17"/>
                <c:pt idx="0">
                  <c:v>0</c:v>
                </c:pt>
                <c:pt idx="1">
                  <c:v>5.0000000000000044E-2</c:v>
                </c:pt>
                <c:pt idx="2">
                  <c:v>0.10000000000000009</c:v>
                </c:pt>
                <c:pt idx="3">
                  <c:v>0.15000000000000013</c:v>
                </c:pt>
                <c:pt idx="4">
                  <c:v>0.20000000000000018</c:v>
                </c:pt>
                <c:pt idx="5">
                  <c:v>0.25000000000000022</c:v>
                </c:pt>
                <c:pt idx="6">
                  <c:v>0.30000000000000027</c:v>
                </c:pt>
                <c:pt idx="7">
                  <c:v>0.35000000000000031</c:v>
                </c:pt>
                <c:pt idx="8">
                  <c:v>0.40000000000000036</c:v>
                </c:pt>
                <c:pt idx="9">
                  <c:v>0.4500000000000004</c:v>
                </c:pt>
                <c:pt idx="10">
                  <c:v>0.50000000000000044</c:v>
                </c:pt>
                <c:pt idx="11">
                  <c:v>0.55000000000000038</c:v>
                </c:pt>
                <c:pt idx="12">
                  <c:v>0.60000000000000031</c:v>
                </c:pt>
                <c:pt idx="13">
                  <c:v>0.65000000000000036</c:v>
                </c:pt>
                <c:pt idx="14">
                  <c:v>0.7000000000000004</c:v>
                </c:pt>
                <c:pt idx="15">
                  <c:v>0.75000000000000033</c:v>
                </c:pt>
                <c:pt idx="16">
                  <c:v>0.80000000000000027</c:v>
                </c:pt>
              </c:numCache>
            </c:numRef>
          </c:cat>
          <c:val>
            <c:numRef>
              <c:f>'Cap 5 - Elektra'!$G$7:$G$23</c:f>
              <c:numCache>
                <c:formatCode>#,##0.00</c:formatCode>
                <c:ptCount val="17"/>
                <c:pt idx="0">
                  <c:v>2500</c:v>
                </c:pt>
                <c:pt idx="1">
                  <c:v>2375</c:v>
                </c:pt>
                <c:pt idx="2">
                  <c:v>2250</c:v>
                </c:pt>
                <c:pt idx="3">
                  <c:v>2124.9999999999995</c:v>
                </c:pt>
                <c:pt idx="4">
                  <c:v>1999.9999999999995</c:v>
                </c:pt>
                <c:pt idx="5">
                  <c:v>1874.9999999999995</c:v>
                </c:pt>
                <c:pt idx="6">
                  <c:v>1749.9999999999993</c:v>
                </c:pt>
                <c:pt idx="7">
                  <c:v>1624.9999999999993</c:v>
                </c:pt>
                <c:pt idx="8">
                  <c:v>1499.9999999999991</c:v>
                </c:pt>
                <c:pt idx="9">
                  <c:v>1374.9999999999991</c:v>
                </c:pt>
                <c:pt idx="10">
                  <c:v>1249.9999999999991</c:v>
                </c:pt>
                <c:pt idx="11">
                  <c:v>1124.9999999999991</c:v>
                </c:pt>
                <c:pt idx="12">
                  <c:v>999.99999999999909</c:v>
                </c:pt>
                <c:pt idx="13">
                  <c:v>874.99999999999909</c:v>
                </c:pt>
                <c:pt idx="14">
                  <c:v>749.99999999999909</c:v>
                </c:pt>
                <c:pt idx="15">
                  <c:v>624.9999999999992</c:v>
                </c:pt>
                <c:pt idx="16">
                  <c:v>499.9999999999992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80-4E8B-A579-7563F46EC4EF}"/>
            </c:ext>
          </c:extLst>
        </c:ser>
        <c:ser>
          <c:idx val="1"/>
          <c:order val="1"/>
          <c:tx>
            <c:strRef>
              <c:f>'Cap 5 - Elektra'!$H$6</c:f>
              <c:strCache>
                <c:ptCount val="1"/>
                <c:pt idx="0">
                  <c:v>Dívida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'Cap 5 - Elektra'!$C$7:$C$23</c:f>
              <c:numCache>
                <c:formatCode>0%</c:formatCode>
                <c:ptCount val="17"/>
                <c:pt idx="0">
                  <c:v>0</c:v>
                </c:pt>
                <c:pt idx="1">
                  <c:v>5.0000000000000044E-2</c:v>
                </c:pt>
                <c:pt idx="2">
                  <c:v>0.10000000000000009</c:v>
                </c:pt>
                <c:pt idx="3">
                  <c:v>0.15000000000000013</c:v>
                </c:pt>
                <c:pt idx="4">
                  <c:v>0.20000000000000018</c:v>
                </c:pt>
                <c:pt idx="5">
                  <c:v>0.25000000000000022</c:v>
                </c:pt>
                <c:pt idx="6">
                  <c:v>0.30000000000000027</c:v>
                </c:pt>
                <c:pt idx="7">
                  <c:v>0.35000000000000031</c:v>
                </c:pt>
                <c:pt idx="8">
                  <c:v>0.40000000000000036</c:v>
                </c:pt>
                <c:pt idx="9">
                  <c:v>0.4500000000000004</c:v>
                </c:pt>
                <c:pt idx="10">
                  <c:v>0.50000000000000044</c:v>
                </c:pt>
                <c:pt idx="11">
                  <c:v>0.55000000000000038</c:v>
                </c:pt>
                <c:pt idx="12">
                  <c:v>0.60000000000000031</c:v>
                </c:pt>
                <c:pt idx="13">
                  <c:v>0.65000000000000036</c:v>
                </c:pt>
                <c:pt idx="14">
                  <c:v>0.7000000000000004</c:v>
                </c:pt>
                <c:pt idx="15">
                  <c:v>0.75000000000000033</c:v>
                </c:pt>
                <c:pt idx="16">
                  <c:v>0.80000000000000027</c:v>
                </c:pt>
              </c:numCache>
            </c:numRef>
          </c:cat>
          <c:val>
            <c:numRef>
              <c:f>'Cap 5 - Elektra'!$H$7:$H$23</c:f>
              <c:numCache>
                <c:formatCode>#,##0.00</c:formatCode>
                <c:ptCount val="17"/>
                <c:pt idx="0">
                  <c:v>0</c:v>
                </c:pt>
                <c:pt idx="1">
                  <c:v>125</c:v>
                </c:pt>
                <c:pt idx="2">
                  <c:v>250</c:v>
                </c:pt>
                <c:pt idx="3">
                  <c:v>375.00000000000045</c:v>
                </c:pt>
                <c:pt idx="4">
                  <c:v>500.00000000000045</c:v>
                </c:pt>
                <c:pt idx="5">
                  <c:v>625.00000000000045</c:v>
                </c:pt>
                <c:pt idx="6">
                  <c:v>750.00000000000068</c:v>
                </c:pt>
                <c:pt idx="7">
                  <c:v>875.00000000000068</c:v>
                </c:pt>
                <c:pt idx="8">
                  <c:v>1000.0000000000009</c:v>
                </c:pt>
                <c:pt idx="9">
                  <c:v>1125.0000000000009</c:v>
                </c:pt>
                <c:pt idx="10">
                  <c:v>1250.0000000000009</c:v>
                </c:pt>
                <c:pt idx="11">
                  <c:v>1375.0000000000009</c:v>
                </c:pt>
                <c:pt idx="12">
                  <c:v>1500.0000000000009</c:v>
                </c:pt>
                <c:pt idx="13">
                  <c:v>1625.0000000000009</c:v>
                </c:pt>
                <c:pt idx="14">
                  <c:v>1750.0000000000009</c:v>
                </c:pt>
                <c:pt idx="15">
                  <c:v>1875.0000000000009</c:v>
                </c:pt>
                <c:pt idx="16">
                  <c:v>2000.0000000000009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80-4E8B-A579-7563F46EC4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61994719"/>
        <c:axId val="1561998559"/>
      </c:lineChart>
      <c:catAx>
        <c:axId val="156199471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r>
                  <a:rPr lang="pt-BR"/>
                  <a:t>D / (D + E)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ptos" panose="020B0004020202020204" pitchFamily="34" charset="0"/>
                  <a:ea typeface="+mn-ea"/>
                  <a:cs typeface="+mn-cs"/>
                </a:defRPr>
              </a:pPr>
              <a:endParaRPr lang="pt-BR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pt-BR"/>
          </a:p>
        </c:txPr>
        <c:crossAx val="1561998559"/>
        <c:crosses val="autoZero"/>
        <c:auto val="1"/>
        <c:lblAlgn val="ctr"/>
        <c:lblOffset val="100"/>
        <c:noMultiLvlLbl val="0"/>
      </c:catAx>
      <c:valAx>
        <c:axId val="15619985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pt-BR"/>
          </a:p>
        </c:txPr>
        <c:crossAx val="1561994719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1">
          <a:latin typeface="Aptos" panose="020B0004020202020204" pitchFamily="34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r>
              <a:rPr lang="pt-BR"/>
              <a:t>Custo de Capital (Rb, Rs e WACC)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'Cap 5 - Elektra'!$I$6</c:f>
              <c:strCache>
                <c:ptCount val="1"/>
                <c:pt idx="0">
                  <c:v>Rb</c:v>
                </c:pt>
              </c:strCache>
            </c:strRef>
          </c:tx>
          <c:spPr>
            <a:ln w="38100" cap="rnd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'Cap 5 - Elektra'!$C$7:$C$23</c:f>
              <c:numCache>
                <c:formatCode>0%</c:formatCode>
                <c:ptCount val="17"/>
                <c:pt idx="0">
                  <c:v>0</c:v>
                </c:pt>
                <c:pt idx="1">
                  <c:v>5.0000000000000044E-2</c:v>
                </c:pt>
                <c:pt idx="2">
                  <c:v>0.10000000000000009</c:v>
                </c:pt>
                <c:pt idx="3">
                  <c:v>0.15000000000000013</c:v>
                </c:pt>
                <c:pt idx="4">
                  <c:v>0.20000000000000018</c:v>
                </c:pt>
                <c:pt idx="5">
                  <c:v>0.25000000000000022</c:v>
                </c:pt>
                <c:pt idx="6">
                  <c:v>0.30000000000000027</c:v>
                </c:pt>
                <c:pt idx="7">
                  <c:v>0.35000000000000031</c:v>
                </c:pt>
                <c:pt idx="8">
                  <c:v>0.40000000000000036</c:v>
                </c:pt>
                <c:pt idx="9">
                  <c:v>0.4500000000000004</c:v>
                </c:pt>
                <c:pt idx="10">
                  <c:v>0.50000000000000044</c:v>
                </c:pt>
                <c:pt idx="11">
                  <c:v>0.55000000000000038</c:v>
                </c:pt>
                <c:pt idx="12">
                  <c:v>0.60000000000000031</c:v>
                </c:pt>
                <c:pt idx="13">
                  <c:v>0.65000000000000036</c:v>
                </c:pt>
                <c:pt idx="14">
                  <c:v>0.7000000000000004</c:v>
                </c:pt>
                <c:pt idx="15">
                  <c:v>0.75000000000000033</c:v>
                </c:pt>
                <c:pt idx="16">
                  <c:v>0.80000000000000027</c:v>
                </c:pt>
              </c:numCache>
            </c:numRef>
          </c:cat>
          <c:val>
            <c:numRef>
              <c:f>'Cap 5 - Elektra'!$I$7:$I$23</c:f>
              <c:numCache>
                <c:formatCode>0.0%</c:formatCode>
                <c:ptCount val="17"/>
                <c:pt idx="0">
                  <c:v>6.93E-2</c:v>
                </c:pt>
                <c:pt idx="1">
                  <c:v>6.93E-2</c:v>
                </c:pt>
                <c:pt idx="2">
                  <c:v>6.93E-2</c:v>
                </c:pt>
                <c:pt idx="3">
                  <c:v>6.93E-2</c:v>
                </c:pt>
                <c:pt idx="4">
                  <c:v>6.93E-2</c:v>
                </c:pt>
                <c:pt idx="5">
                  <c:v>6.93E-2</c:v>
                </c:pt>
                <c:pt idx="6">
                  <c:v>6.93E-2</c:v>
                </c:pt>
                <c:pt idx="7">
                  <c:v>7.2599999999999998E-2</c:v>
                </c:pt>
                <c:pt idx="8">
                  <c:v>7.2599999999999998E-2</c:v>
                </c:pt>
                <c:pt idx="9">
                  <c:v>7.2599999999999998E-2</c:v>
                </c:pt>
                <c:pt idx="10">
                  <c:v>7.2599999999999998E-2</c:v>
                </c:pt>
                <c:pt idx="11">
                  <c:v>7.9199999999999993E-2</c:v>
                </c:pt>
                <c:pt idx="12">
                  <c:v>8.5799999999999987E-2</c:v>
                </c:pt>
                <c:pt idx="13">
                  <c:v>9.9000000000000005E-2</c:v>
                </c:pt>
                <c:pt idx="14">
                  <c:v>0.1188</c:v>
                </c:pt>
                <c:pt idx="15">
                  <c:v>0.1386</c:v>
                </c:pt>
                <c:pt idx="16">
                  <c:v>0.15839999999999999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CA-4068-99C5-8EBD710B8A56}"/>
            </c:ext>
          </c:extLst>
        </c:ser>
        <c:ser>
          <c:idx val="1"/>
          <c:order val="1"/>
          <c:tx>
            <c:strRef>
              <c:f>'Cap 5 - Elektra'!$J$6</c:f>
              <c:strCache>
                <c:ptCount val="1"/>
                <c:pt idx="0">
                  <c:v>Rs</c:v>
                </c:pt>
              </c:strCache>
            </c:strRef>
          </c:tx>
          <c:spPr>
            <a:ln w="38100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'Cap 5 - Elektra'!$C$7:$C$23</c:f>
              <c:numCache>
                <c:formatCode>0%</c:formatCode>
                <c:ptCount val="17"/>
                <c:pt idx="0">
                  <c:v>0</c:v>
                </c:pt>
                <c:pt idx="1">
                  <c:v>5.0000000000000044E-2</c:v>
                </c:pt>
                <c:pt idx="2">
                  <c:v>0.10000000000000009</c:v>
                </c:pt>
                <c:pt idx="3">
                  <c:v>0.15000000000000013</c:v>
                </c:pt>
                <c:pt idx="4">
                  <c:v>0.20000000000000018</c:v>
                </c:pt>
                <c:pt idx="5">
                  <c:v>0.25000000000000022</c:v>
                </c:pt>
                <c:pt idx="6">
                  <c:v>0.30000000000000027</c:v>
                </c:pt>
                <c:pt idx="7">
                  <c:v>0.35000000000000031</c:v>
                </c:pt>
                <c:pt idx="8">
                  <c:v>0.40000000000000036</c:v>
                </c:pt>
                <c:pt idx="9">
                  <c:v>0.4500000000000004</c:v>
                </c:pt>
                <c:pt idx="10">
                  <c:v>0.50000000000000044</c:v>
                </c:pt>
                <c:pt idx="11">
                  <c:v>0.55000000000000038</c:v>
                </c:pt>
                <c:pt idx="12">
                  <c:v>0.60000000000000031</c:v>
                </c:pt>
                <c:pt idx="13">
                  <c:v>0.65000000000000036</c:v>
                </c:pt>
                <c:pt idx="14">
                  <c:v>0.7000000000000004</c:v>
                </c:pt>
                <c:pt idx="15">
                  <c:v>0.75000000000000033</c:v>
                </c:pt>
                <c:pt idx="16">
                  <c:v>0.80000000000000027</c:v>
                </c:pt>
              </c:numCache>
            </c:numRef>
          </c:cat>
          <c:val>
            <c:numRef>
              <c:f>'Cap 5 - Elektra'!$J$7:$J$23</c:f>
              <c:numCache>
                <c:formatCode>0.0%</c:formatCode>
                <c:ptCount val="17"/>
                <c:pt idx="0">
                  <c:v>0.12415</c:v>
                </c:pt>
                <c:pt idx="1">
                  <c:v>0.12610394736842104</c:v>
                </c:pt>
                <c:pt idx="2">
                  <c:v>0.128275</c:v>
                </c:pt>
                <c:pt idx="3">
                  <c:v>0.13070147058823528</c:v>
                </c:pt>
                <c:pt idx="4">
                  <c:v>0.13343125</c:v>
                </c:pt>
                <c:pt idx="5">
                  <c:v>0.13652500000000001</c:v>
                </c:pt>
                <c:pt idx="6">
                  <c:v>0.14006071428571429</c:v>
                </c:pt>
                <c:pt idx="7">
                  <c:v>0.14414038461538461</c:v>
                </c:pt>
                <c:pt idx="8">
                  <c:v>0.1489</c:v>
                </c:pt>
                <c:pt idx="9">
                  <c:v>0.15452500000000002</c:v>
                </c:pt>
                <c:pt idx="10">
                  <c:v>0.16127500000000003</c:v>
                </c:pt>
                <c:pt idx="11">
                  <c:v>0.16952500000000004</c:v>
                </c:pt>
                <c:pt idx="12">
                  <c:v>0.17983750000000004</c:v>
                </c:pt>
                <c:pt idx="13">
                  <c:v>0.19309642857142867</c:v>
                </c:pt>
                <c:pt idx="14">
                  <c:v>0.21077500000000016</c:v>
                </c:pt>
                <c:pt idx="15">
                  <c:v>0.23552500000000018</c:v>
                </c:pt>
                <c:pt idx="16">
                  <c:v>0.27265000000000028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CA-4068-99C5-8EBD710B8A56}"/>
            </c:ext>
          </c:extLst>
        </c:ser>
        <c:ser>
          <c:idx val="2"/>
          <c:order val="2"/>
          <c:tx>
            <c:strRef>
              <c:f>'Cap 5 - Elektra'!$K$6</c:f>
              <c:strCache>
                <c:ptCount val="1"/>
                <c:pt idx="0">
                  <c:v>WACC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'Cap 5 - Elektra'!$C$7:$C$23</c:f>
              <c:numCache>
                <c:formatCode>0%</c:formatCode>
                <c:ptCount val="17"/>
                <c:pt idx="0">
                  <c:v>0</c:v>
                </c:pt>
                <c:pt idx="1">
                  <c:v>5.0000000000000044E-2</c:v>
                </c:pt>
                <c:pt idx="2">
                  <c:v>0.10000000000000009</c:v>
                </c:pt>
                <c:pt idx="3">
                  <c:v>0.15000000000000013</c:v>
                </c:pt>
                <c:pt idx="4">
                  <c:v>0.20000000000000018</c:v>
                </c:pt>
                <c:pt idx="5">
                  <c:v>0.25000000000000022</c:v>
                </c:pt>
                <c:pt idx="6">
                  <c:v>0.30000000000000027</c:v>
                </c:pt>
                <c:pt idx="7">
                  <c:v>0.35000000000000031</c:v>
                </c:pt>
                <c:pt idx="8">
                  <c:v>0.40000000000000036</c:v>
                </c:pt>
                <c:pt idx="9">
                  <c:v>0.4500000000000004</c:v>
                </c:pt>
                <c:pt idx="10">
                  <c:v>0.50000000000000044</c:v>
                </c:pt>
                <c:pt idx="11">
                  <c:v>0.55000000000000038</c:v>
                </c:pt>
                <c:pt idx="12">
                  <c:v>0.60000000000000031</c:v>
                </c:pt>
                <c:pt idx="13">
                  <c:v>0.65000000000000036</c:v>
                </c:pt>
                <c:pt idx="14">
                  <c:v>0.7000000000000004</c:v>
                </c:pt>
                <c:pt idx="15">
                  <c:v>0.75000000000000033</c:v>
                </c:pt>
                <c:pt idx="16">
                  <c:v>0.80000000000000027</c:v>
                </c:pt>
              </c:numCache>
            </c:numRef>
          </c:cat>
          <c:val>
            <c:numRef>
              <c:f>'Cap 5 - Elektra'!$K$7:$K$23</c:f>
              <c:numCache>
                <c:formatCode>0.0%</c:formatCode>
                <c:ptCount val="17"/>
                <c:pt idx="0">
                  <c:v>0.12415</c:v>
                </c:pt>
                <c:pt idx="1">
                  <c:v>0.12326374999999999</c:v>
                </c:pt>
                <c:pt idx="2">
                  <c:v>0.1223775</c:v>
                </c:pt>
                <c:pt idx="3">
                  <c:v>0.12149124999999998</c:v>
                </c:pt>
                <c:pt idx="4">
                  <c:v>0.12060499999999999</c:v>
                </c:pt>
                <c:pt idx="5">
                  <c:v>0.11971874999999998</c:v>
                </c:pt>
                <c:pt idx="6">
                  <c:v>0.11883249999999998</c:v>
                </c:pt>
                <c:pt idx="7">
                  <c:v>0.11910124999999996</c:v>
                </c:pt>
                <c:pt idx="8">
                  <c:v>0.11837999999999997</c:v>
                </c:pt>
                <c:pt idx="9">
                  <c:v>0.11765874999999998</c:v>
                </c:pt>
                <c:pt idx="10">
                  <c:v>0.11693749999999997</c:v>
                </c:pt>
                <c:pt idx="11">
                  <c:v>0.11984624999999999</c:v>
                </c:pt>
                <c:pt idx="12">
                  <c:v>0.12341499999999997</c:v>
                </c:pt>
                <c:pt idx="13">
                  <c:v>0.13193375000000002</c:v>
                </c:pt>
                <c:pt idx="14">
                  <c:v>0.14639250000000004</c:v>
                </c:pt>
                <c:pt idx="15">
                  <c:v>0.16283125000000001</c:v>
                </c:pt>
                <c:pt idx="16">
                  <c:v>0.18125000000000002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CA-4068-99C5-8EBD710B8A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61994719"/>
        <c:axId val="1561998559"/>
      </c:lineChart>
      <c:catAx>
        <c:axId val="156199471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r>
                  <a:rPr lang="pt-BR"/>
                  <a:t>D / (D + E)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ptos" panose="020B0004020202020204" pitchFamily="34" charset="0"/>
                  <a:ea typeface="+mn-ea"/>
                  <a:cs typeface="+mn-cs"/>
                </a:defRPr>
              </a:pPr>
              <a:endParaRPr lang="pt-BR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pt-BR"/>
          </a:p>
        </c:txPr>
        <c:crossAx val="1561998559"/>
        <c:crosses val="autoZero"/>
        <c:auto val="1"/>
        <c:lblAlgn val="ctr"/>
        <c:lblOffset val="100"/>
        <c:noMultiLvlLbl val="0"/>
      </c:catAx>
      <c:valAx>
        <c:axId val="15619985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pt-BR"/>
          </a:p>
        </c:txPr>
        <c:crossAx val="1561994719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1">
          <a:latin typeface="Aptos" panose="020B0004020202020204" pitchFamily="34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r>
              <a:rPr lang="pt-BR"/>
              <a:t>Enterprise</a:t>
            </a:r>
            <a:r>
              <a:rPr lang="pt-BR" baseline="0"/>
              <a:t> Value x WACC</a:t>
            </a:r>
            <a:endParaRPr lang="pt-B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'Cap 5 - Elektra'!$L$6</c:f>
              <c:strCache>
                <c:ptCount val="1"/>
                <c:pt idx="0">
                  <c:v>EV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'Cap 5 - Elektra'!$C$7:$C$23</c:f>
              <c:numCache>
                <c:formatCode>0%</c:formatCode>
                <c:ptCount val="17"/>
                <c:pt idx="0">
                  <c:v>0</c:v>
                </c:pt>
                <c:pt idx="1">
                  <c:v>5.0000000000000044E-2</c:v>
                </c:pt>
                <c:pt idx="2">
                  <c:v>0.10000000000000009</c:v>
                </c:pt>
                <c:pt idx="3">
                  <c:v>0.15000000000000013</c:v>
                </c:pt>
                <c:pt idx="4">
                  <c:v>0.20000000000000018</c:v>
                </c:pt>
                <c:pt idx="5">
                  <c:v>0.25000000000000022</c:v>
                </c:pt>
                <c:pt idx="6">
                  <c:v>0.30000000000000027</c:v>
                </c:pt>
                <c:pt idx="7">
                  <c:v>0.35000000000000031</c:v>
                </c:pt>
                <c:pt idx="8">
                  <c:v>0.40000000000000036</c:v>
                </c:pt>
                <c:pt idx="9">
                  <c:v>0.4500000000000004</c:v>
                </c:pt>
                <c:pt idx="10">
                  <c:v>0.50000000000000044</c:v>
                </c:pt>
                <c:pt idx="11">
                  <c:v>0.55000000000000038</c:v>
                </c:pt>
                <c:pt idx="12">
                  <c:v>0.60000000000000031</c:v>
                </c:pt>
                <c:pt idx="13">
                  <c:v>0.65000000000000036</c:v>
                </c:pt>
                <c:pt idx="14">
                  <c:v>0.7000000000000004</c:v>
                </c:pt>
                <c:pt idx="15">
                  <c:v>0.75000000000000033</c:v>
                </c:pt>
                <c:pt idx="16">
                  <c:v>0.80000000000000027</c:v>
                </c:pt>
              </c:numCache>
            </c:numRef>
          </c:cat>
          <c:val>
            <c:numRef>
              <c:f>'Cap 5 - Elektra'!$L$7:$L$23</c:f>
              <c:numCache>
                <c:formatCode>#,##0.00</c:formatCode>
                <c:ptCount val="17"/>
                <c:pt idx="0">
                  <c:v>2693.3386210456847</c:v>
                </c:pt>
                <c:pt idx="1">
                  <c:v>2718.2485024184898</c:v>
                </c:pt>
                <c:pt idx="2">
                  <c:v>2743.4626467866487</c:v>
                </c:pt>
                <c:pt idx="3">
                  <c:v>2768.9877170562008</c:v>
                </c:pt>
                <c:pt idx="4">
                  <c:v>2794.8305719929253</c:v>
                </c:pt>
                <c:pt idx="5">
                  <c:v>2820.9982734719219</c:v>
                </c:pt>
                <c:pt idx="6">
                  <c:v>2847.4980940515907</c:v>
                </c:pt>
                <c:pt idx="7">
                  <c:v>2844.6760244800926</c:v>
                </c:pt>
                <c:pt idx="8">
                  <c:v>2867.158093941478</c:v>
                </c:pt>
                <c:pt idx="9">
                  <c:v>2883.2887286745458</c:v>
                </c:pt>
                <c:pt idx="10">
                  <c:v>2899.651088286224</c:v>
                </c:pt>
                <c:pt idx="11">
                  <c:v>2822.2235833267937</c:v>
                </c:pt>
                <c:pt idx="12">
                  <c:v>2732.6547833776744</c:v>
                </c:pt>
                <c:pt idx="13">
                  <c:v>2541.528850199204</c:v>
                </c:pt>
                <c:pt idx="14">
                  <c:v>2269.4606235899059</c:v>
                </c:pt>
                <c:pt idx="15">
                  <c:v>2019.0425000215828</c:v>
                </c:pt>
                <c:pt idx="16">
                  <c:v>1792.6301248468747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BAD-4E2B-8D89-CD21E83D36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374816047"/>
        <c:axId val="1374809807"/>
      </c:barChart>
      <c:lineChart>
        <c:grouping val="standard"/>
        <c:varyColors val="0"/>
        <c:ser>
          <c:idx val="0"/>
          <c:order val="0"/>
          <c:tx>
            <c:strRef>
              <c:f>'Cap 5 - Elektra'!$K$6</c:f>
              <c:strCache>
                <c:ptCount val="1"/>
                <c:pt idx="0">
                  <c:v>WACC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'Cap 5 - Elektra'!$C$7:$C$23</c:f>
              <c:numCache>
                <c:formatCode>0%</c:formatCode>
                <c:ptCount val="17"/>
                <c:pt idx="0">
                  <c:v>0</c:v>
                </c:pt>
                <c:pt idx="1">
                  <c:v>5.0000000000000044E-2</c:v>
                </c:pt>
                <c:pt idx="2">
                  <c:v>0.10000000000000009</c:v>
                </c:pt>
                <c:pt idx="3">
                  <c:v>0.15000000000000013</c:v>
                </c:pt>
                <c:pt idx="4">
                  <c:v>0.20000000000000018</c:v>
                </c:pt>
                <c:pt idx="5">
                  <c:v>0.25000000000000022</c:v>
                </c:pt>
                <c:pt idx="6">
                  <c:v>0.30000000000000027</c:v>
                </c:pt>
                <c:pt idx="7">
                  <c:v>0.35000000000000031</c:v>
                </c:pt>
                <c:pt idx="8">
                  <c:v>0.40000000000000036</c:v>
                </c:pt>
                <c:pt idx="9">
                  <c:v>0.4500000000000004</c:v>
                </c:pt>
                <c:pt idx="10">
                  <c:v>0.50000000000000044</c:v>
                </c:pt>
                <c:pt idx="11">
                  <c:v>0.55000000000000038</c:v>
                </c:pt>
                <c:pt idx="12">
                  <c:v>0.60000000000000031</c:v>
                </c:pt>
                <c:pt idx="13">
                  <c:v>0.65000000000000036</c:v>
                </c:pt>
                <c:pt idx="14">
                  <c:v>0.7000000000000004</c:v>
                </c:pt>
                <c:pt idx="15">
                  <c:v>0.75000000000000033</c:v>
                </c:pt>
                <c:pt idx="16">
                  <c:v>0.80000000000000027</c:v>
                </c:pt>
              </c:numCache>
            </c:numRef>
          </c:cat>
          <c:val>
            <c:numRef>
              <c:f>'Cap 5 - Elektra'!$K$7:$K$23</c:f>
              <c:numCache>
                <c:formatCode>0.0%</c:formatCode>
                <c:ptCount val="17"/>
                <c:pt idx="0">
                  <c:v>0.12415</c:v>
                </c:pt>
                <c:pt idx="1">
                  <c:v>0.12326374999999999</c:v>
                </c:pt>
                <c:pt idx="2">
                  <c:v>0.1223775</c:v>
                </c:pt>
                <c:pt idx="3">
                  <c:v>0.12149124999999998</c:v>
                </c:pt>
                <c:pt idx="4">
                  <c:v>0.12060499999999999</c:v>
                </c:pt>
                <c:pt idx="5">
                  <c:v>0.11971874999999998</c:v>
                </c:pt>
                <c:pt idx="6">
                  <c:v>0.11883249999999998</c:v>
                </c:pt>
                <c:pt idx="7">
                  <c:v>0.11910124999999996</c:v>
                </c:pt>
                <c:pt idx="8">
                  <c:v>0.11837999999999997</c:v>
                </c:pt>
                <c:pt idx="9">
                  <c:v>0.11765874999999998</c:v>
                </c:pt>
                <c:pt idx="10">
                  <c:v>0.11693749999999997</c:v>
                </c:pt>
                <c:pt idx="11">
                  <c:v>0.11984624999999999</c:v>
                </c:pt>
                <c:pt idx="12">
                  <c:v>0.12341499999999997</c:v>
                </c:pt>
                <c:pt idx="13">
                  <c:v>0.13193375000000002</c:v>
                </c:pt>
                <c:pt idx="14">
                  <c:v>0.14639250000000004</c:v>
                </c:pt>
                <c:pt idx="15">
                  <c:v>0.16283125000000001</c:v>
                </c:pt>
                <c:pt idx="16">
                  <c:v>0.18125000000000002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AD-4E2B-8D89-CD21E83D36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1994719"/>
        <c:axId val="1561998559"/>
      </c:lineChart>
      <c:catAx>
        <c:axId val="156199471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r>
                  <a:rPr lang="pt-BR"/>
                  <a:t>D / (D + E)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ptos" panose="020B0004020202020204" pitchFamily="34" charset="0"/>
                  <a:ea typeface="+mn-ea"/>
                  <a:cs typeface="+mn-cs"/>
                </a:defRPr>
              </a:pPr>
              <a:endParaRPr lang="pt-BR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pt-BR"/>
          </a:p>
        </c:txPr>
        <c:crossAx val="1561998559"/>
        <c:crosses val="autoZero"/>
        <c:auto val="1"/>
        <c:lblAlgn val="ctr"/>
        <c:lblOffset val="100"/>
        <c:noMultiLvlLbl val="0"/>
      </c:catAx>
      <c:valAx>
        <c:axId val="1561998559"/>
        <c:scaling>
          <c:orientation val="minMax"/>
          <c:max val="0.2"/>
          <c:min val="0.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pt-BR"/>
          </a:p>
        </c:txPr>
        <c:crossAx val="1561994719"/>
        <c:crosses val="autoZero"/>
        <c:crossBetween val="between"/>
        <c:majorUnit val="2.0000000000000004E-2"/>
      </c:valAx>
      <c:valAx>
        <c:axId val="1374809807"/>
        <c:scaling>
          <c:orientation val="minMax"/>
          <c:max val="3500"/>
          <c:min val="1000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bg1">
                    <a:lumMod val="75000"/>
                  </a:schemeClr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pt-BR"/>
          </a:p>
        </c:txPr>
        <c:crossAx val="1374816047"/>
        <c:crosses val="max"/>
        <c:crossBetween val="between"/>
        <c:majorUnit val="500"/>
      </c:valAx>
      <c:catAx>
        <c:axId val="1374816047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137480980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1">
          <a:latin typeface="Aptos" panose="020B0004020202020204" pitchFamily="34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r>
              <a:rPr lang="pt-BR"/>
              <a:t>Market Cap, PL Contábil</a:t>
            </a:r>
            <a:r>
              <a:rPr lang="pt-BR" baseline="0"/>
              <a:t> e WACC</a:t>
            </a:r>
            <a:r>
              <a:rPr lang="pt-BR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'Cap 5 - Elektra'!$M$6</c:f>
              <c:strCache>
                <c:ptCount val="1"/>
                <c:pt idx="0">
                  <c:v>Mkt Cap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'Cap 5 - Elektra'!$C$7:$C$23</c:f>
              <c:numCache>
                <c:formatCode>0%</c:formatCode>
                <c:ptCount val="17"/>
                <c:pt idx="0">
                  <c:v>0</c:v>
                </c:pt>
                <c:pt idx="1">
                  <c:v>5.0000000000000044E-2</c:v>
                </c:pt>
                <c:pt idx="2">
                  <c:v>0.10000000000000009</c:v>
                </c:pt>
                <c:pt idx="3">
                  <c:v>0.15000000000000013</c:v>
                </c:pt>
                <c:pt idx="4">
                  <c:v>0.20000000000000018</c:v>
                </c:pt>
                <c:pt idx="5">
                  <c:v>0.25000000000000022</c:v>
                </c:pt>
                <c:pt idx="6">
                  <c:v>0.30000000000000027</c:v>
                </c:pt>
                <c:pt idx="7">
                  <c:v>0.35000000000000031</c:v>
                </c:pt>
                <c:pt idx="8">
                  <c:v>0.40000000000000036</c:v>
                </c:pt>
                <c:pt idx="9">
                  <c:v>0.4500000000000004</c:v>
                </c:pt>
                <c:pt idx="10">
                  <c:v>0.50000000000000044</c:v>
                </c:pt>
                <c:pt idx="11">
                  <c:v>0.55000000000000038</c:v>
                </c:pt>
                <c:pt idx="12">
                  <c:v>0.60000000000000031</c:v>
                </c:pt>
                <c:pt idx="13">
                  <c:v>0.65000000000000036</c:v>
                </c:pt>
                <c:pt idx="14">
                  <c:v>0.7000000000000004</c:v>
                </c:pt>
                <c:pt idx="15">
                  <c:v>0.75000000000000033</c:v>
                </c:pt>
                <c:pt idx="16">
                  <c:v>0.80000000000000027</c:v>
                </c:pt>
              </c:numCache>
            </c:numRef>
          </c:cat>
          <c:val>
            <c:numRef>
              <c:f>'Cap 5 - Elektra'!$M$7:$M$23</c:f>
              <c:numCache>
                <c:formatCode>#,##0.00</c:formatCode>
                <c:ptCount val="17"/>
                <c:pt idx="0">
                  <c:v>2693.3386210456847</c:v>
                </c:pt>
                <c:pt idx="1">
                  <c:v>2593.2485024184898</c:v>
                </c:pt>
                <c:pt idx="2">
                  <c:v>2493.4626467866487</c:v>
                </c:pt>
                <c:pt idx="3">
                  <c:v>2393.9877170562004</c:v>
                </c:pt>
                <c:pt idx="4">
                  <c:v>2294.8305719929249</c:v>
                </c:pt>
                <c:pt idx="5">
                  <c:v>2195.9982734719215</c:v>
                </c:pt>
                <c:pt idx="6">
                  <c:v>2097.4980940515898</c:v>
                </c:pt>
                <c:pt idx="7">
                  <c:v>1969.6760244800919</c:v>
                </c:pt>
                <c:pt idx="8">
                  <c:v>1867.1580939414771</c:v>
                </c:pt>
                <c:pt idx="9">
                  <c:v>1758.2887286745449</c:v>
                </c:pt>
                <c:pt idx="10">
                  <c:v>1649.6510882862231</c:v>
                </c:pt>
                <c:pt idx="11">
                  <c:v>1447.2235833267928</c:v>
                </c:pt>
                <c:pt idx="12">
                  <c:v>1232.6547833776735</c:v>
                </c:pt>
                <c:pt idx="13">
                  <c:v>916.52885019920313</c:v>
                </c:pt>
                <c:pt idx="14">
                  <c:v>519.46062358990503</c:v>
                </c:pt>
                <c:pt idx="15">
                  <c:v>144.04250002158187</c:v>
                </c:pt>
                <c:pt idx="16">
                  <c:v>-207.36987515312626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5C-4143-8E94-A5FDF5BB5340}"/>
            </c:ext>
          </c:extLst>
        </c:ser>
        <c:ser>
          <c:idx val="2"/>
          <c:order val="2"/>
          <c:tx>
            <c:strRef>
              <c:f>'Cap 5 - Elektra'!$G$6</c:f>
              <c:strCache>
                <c:ptCount val="1"/>
                <c:pt idx="0">
                  <c:v>PL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'Cap 5 - Elektra'!$C$7:$C$23</c:f>
              <c:numCache>
                <c:formatCode>0%</c:formatCode>
                <c:ptCount val="17"/>
                <c:pt idx="0">
                  <c:v>0</c:v>
                </c:pt>
                <c:pt idx="1">
                  <c:v>5.0000000000000044E-2</c:v>
                </c:pt>
                <c:pt idx="2">
                  <c:v>0.10000000000000009</c:v>
                </c:pt>
                <c:pt idx="3">
                  <c:v>0.15000000000000013</c:v>
                </c:pt>
                <c:pt idx="4">
                  <c:v>0.20000000000000018</c:v>
                </c:pt>
                <c:pt idx="5">
                  <c:v>0.25000000000000022</c:v>
                </c:pt>
                <c:pt idx="6">
                  <c:v>0.30000000000000027</c:v>
                </c:pt>
                <c:pt idx="7">
                  <c:v>0.35000000000000031</c:v>
                </c:pt>
                <c:pt idx="8">
                  <c:v>0.40000000000000036</c:v>
                </c:pt>
                <c:pt idx="9">
                  <c:v>0.4500000000000004</c:v>
                </c:pt>
                <c:pt idx="10">
                  <c:v>0.50000000000000044</c:v>
                </c:pt>
                <c:pt idx="11">
                  <c:v>0.55000000000000038</c:v>
                </c:pt>
                <c:pt idx="12">
                  <c:v>0.60000000000000031</c:v>
                </c:pt>
                <c:pt idx="13">
                  <c:v>0.65000000000000036</c:v>
                </c:pt>
                <c:pt idx="14">
                  <c:v>0.7000000000000004</c:v>
                </c:pt>
                <c:pt idx="15">
                  <c:v>0.75000000000000033</c:v>
                </c:pt>
                <c:pt idx="16">
                  <c:v>0.80000000000000027</c:v>
                </c:pt>
              </c:numCache>
            </c:numRef>
          </c:cat>
          <c:val>
            <c:numRef>
              <c:f>'Cap 5 - Elektra'!$G$7:$G$23</c:f>
              <c:numCache>
                <c:formatCode>#,##0.00</c:formatCode>
                <c:ptCount val="17"/>
                <c:pt idx="0">
                  <c:v>2500</c:v>
                </c:pt>
                <c:pt idx="1">
                  <c:v>2375</c:v>
                </c:pt>
                <c:pt idx="2">
                  <c:v>2250</c:v>
                </c:pt>
                <c:pt idx="3">
                  <c:v>2124.9999999999995</c:v>
                </c:pt>
                <c:pt idx="4">
                  <c:v>1999.9999999999995</c:v>
                </c:pt>
                <c:pt idx="5">
                  <c:v>1874.9999999999995</c:v>
                </c:pt>
                <c:pt idx="6">
                  <c:v>1749.9999999999993</c:v>
                </c:pt>
                <c:pt idx="7">
                  <c:v>1624.9999999999993</c:v>
                </c:pt>
                <c:pt idx="8">
                  <c:v>1499.9999999999991</c:v>
                </c:pt>
                <c:pt idx="9">
                  <c:v>1374.9999999999991</c:v>
                </c:pt>
                <c:pt idx="10">
                  <c:v>1249.9999999999991</c:v>
                </c:pt>
                <c:pt idx="11">
                  <c:v>1124.9999999999991</c:v>
                </c:pt>
                <c:pt idx="12">
                  <c:v>999.99999999999909</c:v>
                </c:pt>
                <c:pt idx="13">
                  <c:v>874.99999999999909</c:v>
                </c:pt>
                <c:pt idx="14">
                  <c:v>749.99999999999909</c:v>
                </c:pt>
                <c:pt idx="15">
                  <c:v>624.9999999999992</c:v>
                </c:pt>
                <c:pt idx="16">
                  <c:v>499.9999999999992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C5C-4143-8E94-A5FDF5BB5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193235743"/>
        <c:axId val="1193229023"/>
      </c:barChart>
      <c:lineChart>
        <c:grouping val="standard"/>
        <c:varyColors val="0"/>
        <c:ser>
          <c:idx val="0"/>
          <c:order val="0"/>
          <c:tx>
            <c:strRef>
              <c:f>'Cap 5 - Elektra'!$N$6</c:f>
              <c:strCache>
                <c:ptCount val="1"/>
                <c:pt idx="0">
                  <c:v>P/VPA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dPt>
            <c:idx val="13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3-1C5C-4143-8E94-A5FDF5BB5340}"/>
              </c:ext>
            </c:extLst>
          </c:dPt>
          <c:cat>
            <c:numRef>
              <c:f>'Cap 5 - Elektra'!$C$7:$C$23</c:f>
              <c:numCache>
                <c:formatCode>0%</c:formatCode>
                <c:ptCount val="17"/>
                <c:pt idx="0">
                  <c:v>0</c:v>
                </c:pt>
                <c:pt idx="1">
                  <c:v>5.0000000000000044E-2</c:v>
                </c:pt>
                <c:pt idx="2">
                  <c:v>0.10000000000000009</c:v>
                </c:pt>
                <c:pt idx="3">
                  <c:v>0.15000000000000013</c:v>
                </c:pt>
                <c:pt idx="4">
                  <c:v>0.20000000000000018</c:v>
                </c:pt>
                <c:pt idx="5">
                  <c:v>0.25000000000000022</c:v>
                </c:pt>
                <c:pt idx="6">
                  <c:v>0.30000000000000027</c:v>
                </c:pt>
                <c:pt idx="7">
                  <c:v>0.35000000000000031</c:v>
                </c:pt>
                <c:pt idx="8">
                  <c:v>0.40000000000000036</c:v>
                </c:pt>
                <c:pt idx="9">
                  <c:v>0.4500000000000004</c:v>
                </c:pt>
                <c:pt idx="10">
                  <c:v>0.50000000000000044</c:v>
                </c:pt>
                <c:pt idx="11">
                  <c:v>0.55000000000000038</c:v>
                </c:pt>
                <c:pt idx="12">
                  <c:v>0.60000000000000031</c:v>
                </c:pt>
                <c:pt idx="13">
                  <c:v>0.65000000000000036</c:v>
                </c:pt>
                <c:pt idx="14">
                  <c:v>0.7000000000000004</c:v>
                </c:pt>
                <c:pt idx="15">
                  <c:v>0.75000000000000033</c:v>
                </c:pt>
                <c:pt idx="16">
                  <c:v>0.80000000000000027</c:v>
                </c:pt>
              </c:numCache>
            </c:numRef>
          </c:cat>
          <c:val>
            <c:numRef>
              <c:f>'Cap 5 - Elektra'!$N$7:$N$23</c:f>
              <c:numCache>
                <c:formatCode>#,##0.00</c:formatCode>
                <c:ptCount val="17"/>
                <c:pt idx="0">
                  <c:v>1.0773354484182738</c:v>
                </c:pt>
                <c:pt idx="1">
                  <c:v>1.0918941062814693</c:v>
                </c:pt>
                <c:pt idx="2">
                  <c:v>1.108205620794066</c:v>
                </c:pt>
                <c:pt idx="3">
                  <c:v>1.126582455085271</c:v>
                </c:pt>
                <c:pt idx="4">
                  <c:v>1.1474152859964628</c:v>
                </c:pt>
                <c:pt idx="5">
                  <c:v>1.1711990791850251</c:v>
                </c:pt>
                <c:pt idx="6">
                  <c:v>1.1985703394580518</c:v>
                </c:pt>
                <c:pt idx="7">
                  <c:v>1.2121083227569802</c:v>
                </c:pt>
                <c:pt idx="8">
                  <c:v>1.2447720626276522</c:v>
                </c:pt>
                <c:pt idx="9">
                  <c:v>1.2787554390360336</c:v>
                </c:pt>
                <c:pt idx="10">
                  <c:v>1.3197208706289794</c:v>
                </c:pt>
                <c:pt idx="11">
                  <c:v>1.2864209629571501</c:v>
                </c:pt>
                <c:pt idx="12">
                  <c:v>1.2326547833776746</c:v>
                </c:pt>
                <c:pt idx="13">
                  <c:v>1.0474615430848047</c:v>
                </c:pt>
                <c:pt idx="14">
                  <c:v>0.69261416478654092</c:v>
                </c:pt>
                <c:pt idx="15">
                  <c:v>0.2304680000345313</c:v>
                </c:pt>
                <c:pt idx="16">
                  <c:v>-0.41473975030625315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5C-4143-8E94-A5FDF5BB5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1994719"/>
        <c:axId val="1561998559"/>
      </c:lineChart>
      <c:catAx>
        <c:axId val="156199471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r>
                  <a:rPr lang="pt-BR"/>
                  <a:t>D / (D + E)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ptos" panose="020B0004020202020204" pitchFamily="34" charset="0"/>
                  <a:ea typeface="+mn-ea"/>
                  <a:cs typeface="+mn-cs"/>
                </a:defRPr>
              </a:pPr>
              <a:endParaRPr lang="pt-BR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pt-BR"/>
          </a:p>
        </c:txPr>
        <c:crossAx val="1561998559"/>
        <c:crosses val="autoZero"/>
        <c:auto val="1"/>
        <c:lblAlgn val="ctr"/>
        <c:lblOffset val="100"/>
        <c:noMultiLvlLbl val="0"/>
      </c:catAx>
      <c:valAx>
        <c:axId val="1561998559"/>
        <c:scaling>
          <c:orientation val="minMax"/>
          <c:min val="-0.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pt-BR"/>
          </a:p>
        </c:txPr>
        <c:crossAx val="1561994719"/>
        <c:crosses val="autoZero"/>
        <c:crossBetween val="between"/>
        <c:majorUnit val="0.4"/>
      </c:valAx>
      <c:valAx>
        <c:axId val="1193229023"/>
        <c:scaling>
          <c:orientation val="minMax"/>
          <c:min val="-500"/>
        </c:scaling>
        <c:delete val="0"/>
        <c:axPos val="r"/>
        <c:numFmt formatCode="#,##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pt-BR"/>
          </a:p>
        </c:txPr>
        <c:crossAx val="1193235743"/>
        <c:crosses val="max"/>
        <c:crossBetween val="between"/>
        <c:majorUnit val="700"/>
      </c:valAx>
      <c:catAx>
        <c:axId val="1193235743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119322902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1">
          <a:latin typeface="Aptos" panose="020B0004020202020204" pitchFamily="34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'Cap 6 - Kilimanjaro'!$O$3</c:f>
              <c:strCache>
                <c:ptCount val="1"/>
                <c:pt idx="0">
                  <c:v>Receita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'Cap 6 - Kilimanjaro'!$N$4:$N$8</c:f>
              <c:numCache>
                <c:formatCode>#,##0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'Cap 6 - Kilimanjaro'!$O$4:$O$8</c:f>
              <c:numCache>
                <c:formatCode>#,##0</c:formatCode>
                <c:ptCount val="5"/>
                <c:pt idx="0">
                  <c:v>99000</c:v>
                </c:pt>
                <c:pt idx="1">
                  <c:v>110000</c:v>
                </c:pt>
                <c:pt idx="2">
                  <c:v>90000</c:v>
                </c:pt>
                <c:pt idx="3">
                  <c:v>115000</c:v>
                </c:pt>
                <c:pt idx="4">
                  <c:v>143000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BC-49BA-B17B-2C3C6E75EAF3}"/>
            </c:ext>
          </c:extLst>
        </c:ser>
        <c:ser>
          <c:idx val="1"/>
          <c:order val="1"/>
          <c:tx>
            <c:strRef>
              <c:f>'Cap 6 - Kilimanjaro'!$P$3</c:f>
              <c:strCache>
                <c:ptCount val="1"/>
                <c:pt idx="0">
                  <c:v>Ebitda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'Cap 6 - Kilimanjaro'!$N$4:$N$8</c:f>
              <c:numCache>
                <c:formatCode>#,##0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'Cap 6 - Kilimanjaro'!$P$4:$P$8</c:f>
              <c:numCache>
                <c:formatCode>#,##0</c:formatCode>
                <c:ptCount val="5"/>
                <c:pt idx="0">
                  <c:v>31952.861952861953</c:v>
                </c:pt>
                <c:pt idx="1">
                  <c:v>30369.090909090912</c:v>
                </c:pt>
                <c:pt idx="2">
                  <c:v>12700</c:v>
                </c:pt>
                <c:pt idx="3">
                  <c:v>27225.959999999992</c:v>
                </c:pt>
                <c:pt idx="4">
                  <c:v>38800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BC-49BA-B17B-2C3C6E75EA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777835103"/>
        <c:axId val="777836063"/>
      </c:barChart>
      <c:lineChart>
        <c:grouping val="standard"/>
        <c:varyColors val="0"/>
        <c:ser>
          <c:idx val="2"/>
          <c:order val="2"/>
          <c:tx>
            <c:strRef>
              <c:f>'Cap 6 - Kilimanjaro'!$Q$3</c:f>
              <c:strCache>
                <c:ptCount val="1"/>
                <c:pt idx="0">
                  <c:v>Margem Ebita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val>
            <c:numRef>
              <c:f>'Cap 6 - Kilimanjaro'!$Q$4:$Q$8</c:f>
              <c:numCache>
                <c:formatCode>0.0%</c:formatCode>
                <c:ptCount val="5"/>
                <c:pt idx="0">
                  <c:v>0.32275618134203993</c:v>
                </c:pt>
                <c:pt idx="1">
                  <c:v>0.27608264462809917</c:v>
                </c:pt>
                <c:pt idx="2">
                  <c:v>0.1411111111111111</c:v>
                </c:pt>
                <c:pt idx="3">
                  <c:v>0.2367474782608695</c:v>
                </c:pt>
                <c:pt idx="4">
                  <c:v>0.27132867132867133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C-49BA-B17B-2C3C6E75EA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7790943"/>
        <c:axId val="777782303"/>
      </c:lineChart>
      <c:catAx>
        <c:axId val="777835103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pt-BR"/>
          </a:p>
        </c:txPr>
        <c:crossAx val="777836063"/>
        <c:crosses val="autoZero"/>
        <c:auto val="1"/>
        <c:lblAlgn val="ctr"/>
        <c:lblOffset val="100"/>
        <c:noMultiLvlLbl val="0"/>
      </c:catAx>
      <c:valAx>
        <c:axId val="777836063"/>
        <c:scaling>
          <c:orientation val="minMax"/>
          <c:max val="15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pt-BR"/>
          </a:p>
        </c:txPr>
        <c:crossAx val="777835103"/>
        <c:crosses val="autoZero"/>
        <c:crossBetween val="between"/>
        <c:majorUnit val="25000"/>
      </c:valAx>
      <c:valAx>
        <c:axId val="777782303"/>
        <c:scaling>
          <c:orientation val="minMax"/>
          <c:max val="0.36000000000000004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pt-BR"/>
          </a:p>
        </c:txPr>
        <c:crossAx val="777790943"/>
        <c:crosses val="max"/>
        <c:crossBetween val="between"/>
        <c:majorUnit val="6.0000000000000012E-2"/>
      </c:valAx>
      <c:catAx>
        <c:axId val="777790943"/>
        <c:scaling>
          <c:orientation val="minMax"/>
        </c:scaling>
        <c:delete val="1"/>
        <c:axPos val="b"/>
        <c:majorTickMark val="out"/>
        <c:minorTickMark val="none"/>
        <c:tickLblPos val="nextTo"/>
        <c:crossAx val="77778230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 b="1">
          <a:latin typeface="Aptos" panose="020B0004020202020204" pitchFamily="34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'Cap 6 - Kilimanjaro'!$T$4</c:f>
              <c:strCache>
                <c:ptCount val="1"/>
                <c:pt idx="0">
                  <c:v>Variação Receita</c:v>
                </c:pt>
              </c:strCache>
            </c:strRef>
          </c:tx>
          <c:spPr>
            <a:ln w="38100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'Cap 6 - Kilimanjaro'!$S$5:$S$8</c:f>
              <c:numCache>
                <c:formatCode>#,##0</c:formatCode>
                <c:ptCount val="4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</c:numCache>
            </c:numRef>
          </c:cat>
          <c:val>
            <c:numRef>
              <c:f>'Cap 6 - Kilimanjaro'!$T$5:$T$8</c:f>
              <c:numCache>
                <c:formatCode>0.0%</c:formatCode>
                <c:ptCount val="4"/>
                <c:pt idx="0">
                  <c:v>0.11111111111111116</c:v>
                </c:pt>
                <c:pt idx="1">
                  <c:v>-0.18181818181818177</c:v>
                </c:pt>
                <c:pt idx="2">
                  <c:v>0.27777777777777768</c:v>
                </c:pt>
                <c:pt idx="3">
                  <c:v>0.24347826086956514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D2-4AE1-8B05-A7814DCEE6F5}"/>
            </c:ext>
          </c:extLst>
        </c:ser>
        <c:ser>
          <c:idx val="1"/>
          <c:order val="1"/>
          <c:tx>
            <c:strRef>
              <c:f>'Cap 6 - Kilimanjaro'!$U$4</c:f>
              <c:strCache>
                <c:ptCount val="1"/>
                <c:pt idx="0">
                  <c:v>Variação Ebitda</c:v>
                </c:pt>
              </c:strCache>
            </c:strRef>
          </c:tx>
          <c:spPr>
            <a:ln w="38100" cap="rnd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'Cap 6 - Kilimanjaro'!$S$5:$S$8</c:f>
              <c:numCache>
                <c:formatCode>#,##0</c:formatCode>
                <c:ptCount val="4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</c:numCache>
            </c:numRef>
          </c:cat>
          <c:val>
            <c:numRef>
              <c:f>'Cap 6 - Kilimanjaro'!$U$5:$U$8</c:f>
              <c:numCache>
                <c:formatCode>0.0%</c:formatCode>
                <c:ptCount val="4"/>
                <c:pt idx="0">
                  <c:v>-4.9565858798735429E-2</c:v>
                </c:pt>
                <c:pt idx="1">
                  <c:v>-0.58181165060168838</c:v>
                </c:pt>
                <c:pt idx="2">
                  <c:v>1.1437763779527552</c:v>
                </c:pt>
                <c:pt idx="3">
                  <c:v>0.42511044605957005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D2-4AE1-8B05-A7814DCEE6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77864863"/>
        <c:axId val="777866303"/>
      </c:lineChart>
      <c:catAx>
        <c:axId val="777864863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pt-BR"/>
          </a:p>
        </c:txPr>
        <c:crossAx val="777866303"/>
        <c:crosses val="autoZero"/>
        <c:auto val="1"/>
        <c:lblAlgn val="ctr"/>
        <c:lblOffset val="100"/>
        <c:noMultiLvlLbl val="0"/>
      </c:catAx>
      <c:valAx>
        <c:axId val="777866303"/>
        <c:scaling>
          <c:orientation val="minMax"/>
          <c:max val="1.2"/>
          <c:min val="-0.6000000000000000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pt-BR"/>
          </a:p>
        </c:txPr>
        <c:crossAx val="777864863"/>
        <c:crosses val="autoZero"/>
        <c:crossBetween val="between"/>
        <c:majorUnit val="0.30000000000000004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 b="1">
          <a:latin typeface="Aptos" panose="020B0004020202020204" pitchFamily="34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5.xml"/><Relationship Id="rId3" Type="http://schemas.openxmlformats.org/officeDocument/2006/relationships/chart" Target="../charts/chart10.xml"/><Relationship Id="rId7" Type="http://schemas.openxmlformats.org/officeDocument/2006/relationships/chart" Target="../charts/chart14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chart" Target="../charts/chart1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22</xdr:col>
      <xdr:colOff>190500</xdr:colOff>
      <xdr:row>18</xdr:row>
      <xdr:rowOff>142875</xdr:rowOff>
    </xdr:from>
    <xdr:to>
      <xdr:col>29</xdr:col>
      <xdr:colOff>571499</xdr:colOff>
      <xdr:row>33</xdr:row>
      <xdr:rowOff>161925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C14FC6B-2158-465B-AAD0-4B5324F55B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22</xdr:col>
      <xdr:colOff>200025</xdr:colOff>
      <xdr:row>34</xdr:row>
      <xdr:rowOff>133350</xdr:rowOff>
    </xdr:from>
    <xdr:to>
      <xdr:col>29</xdr:col>
      <xdr:colOff>581024</xdr:colOff>
      <xdr:row>49</xdr:row>
      <xdr:rowOff>152400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C997F12-E487-437A-9EC1-380A6C3FFA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588433</xdr:colOff>
      <xdr:row>0</xdr:row>
      <xdr:rowOff>139700</xdr:rowOff>
    </xdr:from>
    <xdr:to>
      <xdr:col>26</xdr:col>
      <xdr:colOff>42333</xdr:colOff>
      <xdr:row>19</xdr:row>
      <xdr:rowOff>46567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601FAE0-7103-CFD6-38CD-3E4D5FEB6FC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275168</xdr:colOff>
      <xdr:row>19</xdr:row>
      <xdr:rowOff>42331</xdr:rowOff>
    </xdr:from>
    <xdr:to>
      <xdr:col>26</xdr:col>
      <xdr:colOff>321735</xdr:colOff>
      <xdr:row>37</xdr:row>
      <xdr:rowOff>114298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4494786-5A85-4407-A67F-4899ED150C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23</xdr:row>
      <xdr:rowOff>122768</xdr:rowOff>
    </xdr:from>
    <xdr:to>
      <xdr:col>9</xdr:col>
      <xdr:colOff>368300</xdr:colOff>
      <xdr:row>42</xdr:row>
      <xdr:rowOff>29635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4B0E60F4-E28D-433B-8917-DDCCB394EA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389467</xdr:colOff>
      <xdr:row>24</xdr:row>
      <xdr:rowOff>25399</xdr:rowOff>
    </xdr:from>
    <xdr:to>
      <xdr:col>16</xdr:col>
      <xdr:colOff>309034</xdr:colOff>
      <xdr:row>42</xdr:row>
      <xdr:rowOff>97366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45882B1-8456-45D7-A92E-E8CE946A26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364067</xdr:colOff>
      <xdr:row>43</xdr:row>
      <xdr:rowOff>105833</xdr:rowOff>
    </xdr:from>
    <xdr:to>
      <xdr:col>16</xdr:col>
      <xdr:colOff>283634</xdr:colOff>
      <xdr:row>62</xdr:row>
      <xdr:rowOff>12700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C9B0B148-C985-45F7-B915-BE842A4608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102055</xdr:colOff>
      <xdr:row>9</xdr:row>
      <xdr:rowOff>104775</xdr:rowOff>
    </xdr:from>
    <xdr:to>
      <xdr:col>20</xdr:col>
      <xdr:colOff>215447</xdr:colOff>
      <xdr:row>25</xdr:row>
      <xdr:rowOff>12203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41F8071-6D6C-AD75-3C10-E9FDACBF42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378733</xdr:colOff>
      <xdr:row>9</xdr:row>
      <xdr:rowOff>141061</xdr:rowOff>
    </xdr:from>
    <xdr:to>
      <xdr:col>27</xdr:col>
      <xdr:colOff>487591</xdr:colOff>
      <xdr:row>26</xdr:row>
      <xdr:rowOff>108403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3D4E58D-A195-995E-C519-147930E3E2F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224519</xdr:colOff>
      <xdr:row>38</xdr:row>
      <xdr:rowOff>4989</xdr:rowOff>
    </xdr:from>
    <xdr:to>
      <xdr:col>20</xdr:col>
      <xdr:colOff>337912</xdr:colOff>
      <xdr:row>54</xdr:row>
      <xdr:rowOff>135617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1695B26E-4F42-90C9-99C5-2CAD93830F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548822</xdr:colOff>
      <xdr:row>37</xdr:row>
      <xdr:rowOff>81644</xdr:rowOff>
    </xdr:from>
    <xdr:to>
      <xdr:col>28</xdr:col>
      <xdr:colOff>68036</xdr:colOff>
      <xdr:row>54</xdr:row>
      <xdr:rowOff>48986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26D4000E-9D1C-48A1-A704-0230797127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483054</xdr:colOff>
      <xdr:row>73</xdr:row>
      <xdr:rowOff>150132</xdr:rowOff>
    </xdr:from>
    <xdr:to>
      <xdr:col>20</xdr:col>
      <xdr:colOff>20412</xdr:colOff>
      <xdr:row>90</xdr:row>
      <xdr:rowOff>117475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1C04FC9E-9CD8-7ACB-1A1A-7D31D2A12E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433161</xdr:colOff>
      <xdr:row>73</xdr:row>
      <xdr:rowOff>50347</xdr:rowOff>
    </xdr:from>
    <xdr:to>
      <xdr:col>27</xdr:col>
      <xdr:colOff>542018</xdr:colOff>
      <xdr:row>90</xdr:row>
      <xdr:rowOff>17690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8875FC38-DDF6-B1CD-5769-1DDB6ED778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11</xdr:col>
      <xdr:colOff>269875</xdr:colOff>
      <xdr:row>98</xdr:row>
      <xdr:rowOff>118383</xdr:rowOff>
    </xdr:from>
    <xdr:to>
      <xdr:col>19</xdr:col>
      <xdr:colOff>773340</xdr:colOff>
      <xdr:row>115</xdr:row>
      <xdr:rowOff>85726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73F79718-8B69-AE58-AF95-5141F96E92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20</xdr:col>
      <xdr:colOff>22679</xdr:colOff>
      <xdr:row>99</xdr:row>
      <xdr:rowOff>4535</xdr:rowOff>
    </xdr:from>
    <xdr:to>
      <xdr:col>27</xdr:col>
      <xdr:colOff>131536</xdr:colOff>
      <xdr:row>115</xdr:row>
      <xdr:rowOff>135164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CC48264A-7C5F-467F-B414-A9273CF93D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76200</xdr:colOff>
      <xdr:row>20</xdr:row>
      <xdr:rowOff>25400</xdr:rowOff>
    </xdr:from>
    <xdr:to>
      <xdr:col>28</xdr:col>
      <xdr:colOff>571500</xdr:colOff>
      <xdr:row>49</xdr:row>
      <xdr:rowOff>133350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AA27A03-7EBD-131E-1C21-EE1239F6DE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63500</xdr:colOff>
      <xdr:row>20</xdr:row>
      <xdr:rowOff>25400</xdr:rowOff>
    </xdr:from>
    <xdr:to>
      <xdr:col>33</xdr:col>
      <xdr:colOff>165100</xdr:colOff>
      <xdr:row>49</xdr:row>
      <xdr:rowOff>133350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5A34E86-5AF1-41FC-8847-08A7C232DA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33</xdr:col>
      <xdr:colOff>292100</xdr:colOff>
      <xdr:row>20</xdr:row>
      <xdr:rowOff>25400</xdr:rowOff>
    </xdr:from>
    <xdr:to>
      <xdr:col>37</xdr:col>
      <xdr:colOff>393700</xdr:colOff>
      <xdr:row>49</xdr:row>
      <xdr:rowOff>133350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524CC0B6-CEC8-46D9-AEFD-ACAC9E4F38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282502</xdr:colOff>
      <xdr:row>1</xdr:row>
      <xdr:rowOff>134359</xdr:rowOff>
    </xdr:from>
    <xdr:to>
      <xdr:col>22</xdr:col>
      <xdr:colOff>53037</xdr:colOff>
      <xdr:row>14</xdr:row>
      <xdr:rowOff>151029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5D8A8CE-43CC-AE76-3878-E287A6387E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512689</xdr:colOff>
      <xdr:row>16</xdr:row>
      <xdr:rowOff>144100</xdr:rowOff>
    </xdr:from>
    <xdr:to>
      <xdr:col>22</xdr:col>
      <xdr:colOff>283225</xdr:colOff>
      <xdr:row>29</xdr:row>
      <xdr:rowOff>184583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F508700-E83F-D2A4-B7D8-A855EC5F6D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0A952-509C-439F-8054-6516DBB61E11}">
  <dimension ref="A1:D14"/>
  <sheetViews>
    <sheetView showGridLines="0" tabSelected="1" topLeftCell="A2" zoomScale="154" zoomScaleNormal="154" workbookViewId="0">
      <selection activeCell="E10" sqref="E10"/>
    </sheetView>
  </sheetViews>
  <sheetFormatPr defaultRowHeight="14.75"/>
  <cols>
    <col min="1" max="1" width="4.5" style="623" customWidth="1"/>
    <col min="2" max="2" width="12.75" style="623" customWidth="1"/>
    <col min="3" max="3" width="6.375" style="623" customWidth="1"/>
    <col min="4" max="16384" width="8.6640625" style="623"/>
  </cols>
  <sheetData>
    <row r="1" spans="1:4" ht="23.5">
      <c r="A1" s="630" t="s">
        <v>660</v>
      </c>
      <c r="B1" s="630"/>
      <c r="C1" s="630"/>
      <c r="D1" s="630"/>
    </row>
    <row r="2" spans="1:4" ht="18.5">
      <c r="A2" s="629" t="s">
        <v>659</v>
      </c>
      <c r="B2" s="629"/>
      <c r="C2" s="629"/>
      <c r="D2" s="629"/>
    </row>
    <row r="3" spans="1:4" s="626" customFormat="1" ht="16">
      <c r="B3" s="628" t="s">
        <v>658</v>
      </c>
      <c r="C3" s="627" t="s">
        <v>657</v>
      </c>
      <c r="D3" s="627" t="s">
        <v>656</v>
      </c>
    </row>
    <row r="4" spans="1:4">
      <c r="A4" s="623">
        <v>1</v>
      </c>
      <c r="B4" s="625" t="s">
        <v>655</v>
      </c>
      <c r="C4" s="624">
        <v>2</v>
      </c>
      <c r="D4" s="624">
        <v>24</v>
      </c>
    </row>
    <row r="5" spans="1:4">
      <c r="A5" s="623">
        <v>2</v>
      </c>
      <c r="B5" s="625" t="s">
        <v>654</v>
      </c>
      <c r="C5" s="624">
        <v>2</v>
      </c>
      <c r="D5" s="624">
        <v>39</v>
      </c>
    </row>
    <row r="6" spans="1:4">
      <c r="A6" s="623">
        <v>3</v>
      </c>
      <c r="B6" s="625" t="s">
        <v>653</v>
      </c>
      <c r="C6" s="624">
        <v>4</v>
      </c>
      <c r="D6" s="624">
        <v>72</v>
      </c>
    </row>
    <row r="7" spans="1:4">
      <c r="A7" s="623">
        <v>4</v>
      </c>
      <c r="B7" s="625" t="s">
        <v>652</v>
      </c>
      <c r="C7" s="624">
        <v>5</v>
      </c>
      <c r="D7" s="624">
        <v>87</v>
      </c>
    </row>
    <row r="8" spans="1:4">
      <c r="A8" s="623">
        <v>5</v>
      </c>
      <c r="B8" s="625" t="s">
        <v>651</v>
      </c>
      <c r="C8" s="624">
        <v>6</v>
      </c>
      <c r="D8" s="624">
        <v>105</v>
      </c>
    </row>
    <row r="9" spans="1:4">
      <c r="A9" s="623">
        <v>6</v>
      </c>
      <c r="B9" s="625" t="s">
        <v>650</v>
      </c>
      <c r="C9" s="624">
        <v>6</v>
      </c>
      <c r="D9" s="624">
        <v>111</v>
      </c>
    </row>
    <row r="10" spans="1:4">
      <c r="A10" s="623">
        <v>7</v>
      </c>
      <c r="B10" s="625" t="s">
        <v>649</v>
      </c>
      <c r="C10" s="624">
        <v>7</v>
      </c>
      <c r="D10" s="624">
        <v>135</v>
      </c>
    </row>
    <row r="11" spans="1:4">
      <c r="A11" s="623">
        <v>8</v>
      </c>
      <c r="B11" s="625" t="s">
        <v>648</v>
      </c>
      <c r="C11" s="624">
        <v>8</v>
      </c>
      <c r="D11" s="624">
        <v>158</v>
      </c>
    </row>
    <row r="12" spans="1:4">
      <c r="A12" s="623">
        <v>9</v>
      </c>
      <c r="B12" s="625" t="s">
        <v>647</v>
      </c>
      <c r="C12" s="624">
        <v>9</v>
      </c>
      <c r="D12" s="624">
        <v>172</v>
      </c>
    </row>
    <row r="13" spans="1:4">
      <c r="A13" s="623">
        <v>10</v>
      </c>
      <c r="B13" s="625" t="s">
        <v>646</v>
      </c>
      <c r="C13" s="624">
        <v>10</v>
      </c>
      <c r="D13" s="624">
        <v>186</v>
      </c>
    </row>
    <row r="14" spans="1:4">
      <c r="A14" s="623">
        <v>11</v>
      </c>
      <c r="B14" s="625" t="s">
        <v>645</v>
      </c>
      <c r="C14" s="624">
        <v>10</v>
      </c>
      <c r="D14" s="624">
        <v>198</v>
      </c>
    </row>
  </sheetData>
  <mergeCells count="2">
    <mergeCell ref="A2:D2"/>
    <mergeCell ref="A1:D1"/>
  </mergeCells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C672F-39E3-4933-A190-C7959C2B342C}">
  <sheetPr codeName="Sheet112">
    <pageSetUpPr fitToPage="1"/>
  </sheetPr>
  <dimension ref="A1:O45"/>
  <sheetViews>
    <sheetView showGridLines="0" zoomScale="65" zoomScaleNormal="65" workbookViewId="0">
      <selection activeCell="P16" sqref="P16"/>
    </sheetView>
  </sheetViews>
  <sheetFormatPr defaultColWidth="8.625" defaultRowHeight="16"/>
  <cols>
    <col min="1" max="1" width="8.625" style="287"/>
    <col min="2" max="2" width="25.125" style="287" customWidth="1"/>
    <col min="3" max="7" width="9.625" style="336" customWidth="1"/>
    <col min="8" max="8" width="5.625" style="287" customWidth="1"/>
    <col min="9" max="9" width="23.125" style="287" customWidth="1"/>
    <col min="10" max="10" width="8.125" style="336" hidden="1" customWidth="1"/>
    <col min="11" max="15" width="9.625" style="336" customWidth="1"/>
    <col min="16" max="16384" width="8.625" style="326"/>
  </cols>
  <sheetData>
    <row r="1" spans="2:15">
      <c r="B1" s="323"/>
      <c r="C1" s="324"/>
      <c r="D1" s="608">
        <v>2024</v>
      </c>
      <c r="E1" s="608"/>
      <c r="F1" s="608"/>
      <c r="G1" s="608"/>
      <c r="K1" s="324"/>
      <c r="L1" s="609">
        <v>2024</v>
      </c>
      <c r="M1" s="609"/>
      <c r="N1" s="609"/>
      <c r="O1" s="609"/>
    </row>
    <row r="2" spans="2:15">
      <c r="B2" s="327" t="s">
        <v>389</v>
      </c>
      <c r="C2" s="325">
        <v>2023</v>
      </c>
      <c r="D2" s="325" t="s">
        <v>626</v>
      </c>
      <c r="E2" s="325" t="s">
        <v>627</v>
      </c>
      <c r="F2" s="325" t="s">
        <v>628</v>
      </c>
      <c r="G2" s="325" t="s">
        <v>369</v>
      </c>
      <c r="I2" s="327" t="s">
        <v>394</v>
      </c>
      <c r="J2" s="325"/>
      <c r="K2" s="325">
        <v>2023</v>
      </c>
      <c r="L2" s="325" t="s">
        <v>626</v>
      </c>
      <c r="M2" s="325" t="s">
        <v>627</v>
      </c>
      <c r="N2" s="325" t="s">
        <v>628</v>
      </c>
      <c r="O2" s="325" t="s">
        <v>369</v>
      </c>
    </row>
    <row r="3" spans="2:15">
      <c r="B3" s="327" t="s">
        <v>23</v>
      </c>
      <c r="C3" s="335">
        <v>150000</v>
      </c>
      <c r="D3" s="335">
        <v>150000</v>
      </c>
      <c r="E3" s="335">
        <v>150000</v>
      </c>
      <c r="F3" s="335">
        <v>150000</v>
      </c>
      <c r="G3" s="335">
        <f>F3*O13/N13</f>
        <v>275000</v>
      </c>
      <c r="I3" s="327" t="s">
        <v>80</v>
      </c>
      <c r="J3" s="325"/>
      <c r="K3" s="329">
        <f>C9</f>
        <v>57900</v>
      </c>
      <c r="L3" s="329">
        <f t="shared" ref="L3:O3" si="0">D9</f>
        <v>57900</v>
      </c>
      <c r="M3" s="329">
        <f t="shared" si="0"/>
        <v>37900</v>
      </c>
      <c r="N3" s="329">
        <f t="shared" si="0"/>
        <v>67900</v>
      </c>
      <c r="O3" s="329">
        <f t="shared" si="0"/>
        <v>110400</v>
      </c>
    </row>
    <row r="4" spans="2:15">
      <c r="B4" s="330" t="s">
        <v>76</v>
      </c>
      <c r="C4" s="335">
        <v>-75000</v>
      </c>
      <c r="D4" s="335">
        <v>-75000</v>
      </c>
      <c r="E4" s="335">
        <v>-95000</v>
      </c>
      <c r="F4" s="335">
        <v>-65000</v>
      </c>
      <c r="G4" s="335">
        <f>-G3+G5</f>
        <v>-137500</v>
      </c>
      <c r="I4" s="330" t="s">
        <v>83</v>
      </c>
      <c r="J4" s="348">
        <v>0.34</v>
      </c>
      <c r="K4" s="328">
        <f>-34%*K3</f>
        <v>-19686</v>
      </c>
      <c r="L4" s="328">
        <f t="shared" ref="L4:O4" si="1">-34%*L3</f>
        <v>-19686</v>
      </c>
      <c r="M4" s="328">
        <f t="shared" si="1"/>
        <v>-12886.000000000002</v>
      </c>
      <c r="N4" s="328">
        <f t="shared" si="1"/>
        <v>-23086</v>
      </c>
      <c r="O4" s="328">
        <f t="shared" si="1"/>
        <v>-37536</v>
      </c>
    </row>
    <row r="5" spans="2:15">
      <c r="B5" s="327" t="s">
        <v>15</v>
      </c>
      <c r="C5" s="339">
        <f>C3+C4</f>
        <v>75000</v>
      </c>
      <c r="D5" s="339">
        <f t="shared" ref="D5:F5" si="2">D3+D4</f>
        <v>75000</v>
      </c>
      <c r="E5" s="339">
        <f t="shared" si="2"/>
        <v>55000</v>
      </c>
      <c r="F5" s="339">
        <f t="shared" si="2"/>
        <v>85000</v>
      </c>
      <c r="G5" s="339">
        <f>G6*G3</f>
        <v>137500</v>
      </c>
      <c r="I5" s="327" t="s">
        <v>111</v>
      </c>
      <c r="J5" s="325"/>
      <c r="K5" s="332">
        <f>K3+K4</f>
        <v>38214</v>
      </c>
      <c r="L5" s="332">
        <f t="shared" ref="L5:O5" si="3">L3+L4</f>
        <v>38214</v>
      </c>
      <c r="M5" s="332">
        <f t="shared" si="3"/>
        <v>25014</v>
      </c>
      <c r="N5" s="332">
        <f t="shared" si="3"/>
        <v>44814</v>
      </c>
      <c r="O5" s="332">
        <f t="shared" si="3"/>
        <v>72864</v>
      </c>
    </row>
    <row r="6" spans="2:15">
      <c r="B6" s="346" t="s">
        <v>77</v>
      </c>
      <c r="C6" s="347">
        <f>C5/C3</f>
        <v>0.5</v>
      </c>
      <c r="D6" s="347">
        <f t="shared" ref="D6:F6" si="4">D5/D3</f>
        <v>0.5</v>
      </c>
      <c r="E6" s="347">
        <f t="shared" si="4"/>
        <v>0.36666666666666664</v>
      </c>
      <c r="F6" s="347">
        <f t="shared" si="4"/>
        <v>0.56666666666666665</v>
      </c>
      <c r="G6" s="347">
        <f>C6</f>
        <v>0.5</v>
      </c>
      <c r="I6" s="333" t="s">
        <v>113</v>
      </c>
      <c r="J6" s="349"/>
      <c r="K6" s="279">
        <f>K5/C3</f>
        <v>0.25475999999999999</v>
      </c>
      <c r="L6" s="279">
        <f t="shared" ref="L6:O6" si="5">L5/D3</f>
        <v>0.25475999999999999</v>
      </c>
      <c r="M6" s="279">
        <f t="shared" si="5"/>
        <v>0.16675999999999999</v>
      </c>
      <c r="N6" s="279">
        <f t="shared" si="5"/>
        <v>0.29876000000000003</v>
      </c>
      <c r="O6" s="279">
        <f t="shared" si="5"/>
        <v>0.26495999999999997</v>
      </c>
    </row>
    <row r="7" spans="2:15">
      <c r="B7" s="330" t="s">
        <v>78</v>
      </c>
      <c r="C7" s="339">
        <v>-15000</v>
      </c>
      <c r="D7" s="339">
        <v>-15000</v>
      </c>
      <c r="E7" s="339">
        <v>-15000</v>
      </c>
      <c r="F7" s="339">
        <v>-15000</v>
      </c>
      <c r="G7" s="339">
        <f>F7-10000</f>
        <v>-25000</v>
      </c>
      <c r="K7" s="334"/>
      <c r="L7" s="334"/>
      <c r="M7" s="334"/>
      <c r="N7" s="334"/>
      <c r="O7" s="334"/>
    </row>
    <row r="8" spans="2:15">
      <c r="B8" s="330" t="s">
        <v>390</v>
      </c>
      <c r="C8" s="339">
        <v>-2100</v>
      </c>
      <c r="D8" s="339">
        <v>-2100</v>
      </c>
      <c r="E8" s="339">
        <v>-2100</v>
      </c>
      <c r="F8" s="339">
        <v>-2100</v>
      </c>
      <c r="G8" s="339">
        <v>-2100</v>
      </c>
      <c r="I8" s="330" t="s">
        <v>152</v>
      </c>
      <c r="J8" s="350"/>
      <c r="K8" s="328">
        <f t="shared" ref="K8:N8" si="6">K12</f>
        <v>140000</v>
      </c>
      <c r="L8" s="328">
        <f t="shared" si="6"/>
        <v>140000</v>
      </c>
      <c r="M8" s="328">
        <f t="shared" si="6"/>
        <v>140000</v>
      </c>
      <c r="N8" s="328">
        <f t="shared" si="6"/>
        <v>140000</v>
      </c>
      <c r="O8" s="328">
        <f>O12</f>
        <v>240000</v>
      </c>
    </row>
    <row r="9" spans="2:15">
      <c r="B9" s="327" t="s">
        <v>80</v>
      </c>
      <c r="C9" s="345">
        <f>C5+C7+C8</f>
        <v>57900</v>
      </c>
      <c r="D9" s="345">
        <f t="shared" ref="D9:G9" si="7">D5+D7+D8</f>
        <v>57900</v>
      </c>
      <c r="E9" s="345">
        <f t="shared" si="7"/>
        <v>37900</v>
      </c>
      <c r="F9" s="345">
        <f t="shared" si="7"/>
        <v>67900</v>
      </c>
      <c r="G9" s="345">
        <f t="shared" si="7"/>
        <v>110400</v>
      </c>
      <c r="I9" s="330" t="s">
        <v>395</v>
      </c>
      <c r="J9" s="350"/>
      <c r="K9" s="335">
        <f>C3/K8</f>
        <v>1.0714285714285714</v>
      </c>
      <c r="L9" s="335">
        <f t="shared" ref="L9:O9" si="8">D3/L8</f>
        <v>1.0714285714285714</v>
      </c>
      <c r="M9" s="335">
        <f t="shared" si="8"/>
        <v>1.0714285714285714</v>
      </c>
      <c r="N9" s="335">
        <f t="shared" si="8"/>
        <v>1.0714285714285714</v>
      </c>
      <c r="O9" s="335">
        <f t="shared" si="8"/>
        <v>1.1458333333333333</v>
      </c>
    </row>
    <row r="10" spans="2:15">
      <c r="B10" s="346" t="s">
        <v>391</v>
      </c>
      <c r="C10" s="347">
        <f>C9/C3</f>
        <v>0.38600000000000001</v>
      </c>
      <c r="D10" s="347">
        <f t="shared" ref="D10:G10" si="9">D9/D3</f>
        <v>0.38600000000000001</v>
      </c>
      <c r="E10" s="347">
        <f t="shared" si="9"/>
        <v>0.25266666666666665</v>
      </c>
      <c r="F10" s="347">
        <f t="shared" si="9"/>
        <v>0.45266666666666666</v>
      </c>
      <c r="G10" s="347">
        <f t="shared" si="9"/>
        <v>0.40145454545454545</v>
      </c>
      <c r="I10" s="330" t="s">
        <v>388</v>
      </c>
      <c r="J10" s="350"/>
      <c r="K10" s="328">
        <v>80000</v>
      </c>
      <c r="L10" s="328">
        <v>80000</v>
      </c>
      <c r="M10" s="328">
        <v>80000</v>
      </c>
      <c r="N10" s="328">
        <v>80000</v>
      </c>
      <c r="O10" s="328">
        <v>180000</v>
      </c>
    </row>
    <row r="11" spans="2:15">
      <c r="B11" s="330" t="s">
        <v>50</v>
      </c>
      <c r="C11" s="339">
        <f>K11*C32</f>
        <v>10350</v>
      </c>
      <c r="D11" s="339">
        <v>-7999</v>
      </c>
      <c r="E11" s="339">
        <v>-7998</v>
      </c>
      <c r="F11" s="339">
        <v>-7997</v>
      </c>
      <c r="G11" s="339">
        <v>-7996</v>
      </c>
      <c r="I11" s="330" t="s">
        <v>32</v>
      </c>
      <c r="J11" s="350"/>
      <c r="K11" s="328">
        <v>60000</v>
      </c>
      <c r="L11" s="328">
        <f>K11</f>
        <v>60000</v>
      </c>
      <c r="M11" s="328">
        <f t="shared" ref="M11:O11" si="10">L11</f>
        <v>60000</v>
      </c>
      <c r="N11" s="328">
        <f t="shared" si="10"/>
        <v>60000</v>
      </c>
      <c r="O11" s="328">
        <f t="shared" si="10"/>
        <v>60000</v>
      </c>
    </row>
    <row r="12" spans="2:15">
      <c r="B12" s="330" t="s">
        <v>25</v>
      </c>
      <c r="C12" s="339">
        <f>C9+C11</f>
        <v>68250</v>
      </c>
      <c r="D12" s="339">
        <f t="shared" ref="D12:G12" si="11">D9+D11</f>
        <v>49901</v>
      </c>
      <c r="E12" s="339">
        <f t="shared" si="11"/>
        <v>29902</v>
      </c>
      <c r="F12" s="339">
        <f t="shared" si="11"/>
        <v>59903</v>
      </c>
      <c r="G12" s="339">
        <f t="shared" si="11"/>
        <v>102404</v>
      </c>
      <c r="I12" s="330" t="s">
        <v>105</v>
      </c>
      <c r="J12" s="350"/>
      <c r="K12" s="328">
        <f>K10+K11</f>
        <v>140000</v>
      </c>
      <c r="L12" s="328">
        <f t="shared" ref="L12:O12" si="12">L10+L11</f>
        <v>140000</v>
      </c>
      <c r="M12" s="328">
        <f t="shared" si="12"/>
        <v>140000</v>
      </c>
      <c r="N12" s="328">
        <f t="shared" si="12"/>
        <v>140000</v>
      </c>
      <c r="O12" s="328">
        <f t="shared" si="12"/>
        <v>240000</v>
      </c>
    </row>
    <row r="13" spans="2:15">
      <c r="B13" s="330" t="s">
        <v>83</v>
      </c>
      <c r="C13" s="339">
        <f>-34%*C12</f>
        <v>-23205</v>
      </c>
      <c r="D13" s="339">
        <f t="shared" ref="D13:G13" si="13">-34%*D12</f>
        <v>-16966.34</v>
      </c>
      <c r="E13" s="339">
        <f t="shared" si="13"/>
        <v>-10166.68</v>
      </c>
      <c r="F13" s="339">
        <f t="shared" si="13"/>
        <v>-20367.02</v>
      </c>
      <c r="G13" s="339">
        <f t="shared" si="13"/>
        <v>-34817.360000000001</v>
      </c>
      <c r="I13" s="330" t="s">
        <v>396</v>
      </c>
      <c r="J13" s="350"/>
      <c r="K13" s="328">
        <v>120000</v>
      </c>
      <c r="L13" s="328">
        <f>K13</f>
        <v>120000</v>
      </c>
      <c r="M13" s="328">
        <f t="shared" ref="M13:N13" si="14">L13</f>
        <v>120000</v>
      </c>
      <c r="N13" s="328">
        <f t="shared" si="14"/>
        <v>120000</v>
      </c>
      <c r="O13" s="328">
        <f>N13+100000</f>
        <v>220000</v>
      </c>
    </row>
    <row r="14" spans="2:15">
      <c r="B14" s="327" t="s">
        <v>26</v>
      </c>
      <c r="C14" s="345">
        <f>C12+C13</f>
        <v>45045</v>
      </c>
      <c r="D14" s="345">
        <f t="shared" ref="D14:G14" si="15">D12+D13</f>
        <v>32934.660000000003</v>
      </c>
      <c r="E14" s="345">
        <f t="shared" si="15"/>
        <v>19735.32</v>
      </c>
      <c r="F14" s="345">
        <f t="shared" si="15"/>
        <v>39535.979999999996</v>
      </c>
      <c r="G14" s="345">
        <f t="shared" si="15"/>
        <v>67586.64</v>
      </c>
      <c r="I14" s="330" t="s">
        <v>47</v>
      </c>
      <c r="J14" s="348">
        <v>0.12</v>
      </c>
      <c r="K14" s="328">
        <f>$J$14*K13</f>
        <v>14400</v>
      </c>
      <c r="L14" s="328">
        <f t="shared" ref="L14:O14" si="16">$J$14*L13</f>
        <v>14400</v>
      </c>
      <c r="M14" s="328">
        <f t="shared" si="16"/>
        <v>14400</v>
      </c>
      <c r="N14" s="328">
        <f t="shared" si="16"/>
        <v>14400</v>
      </c>
      <c r="O14" s="328">
        <f t="shared" si="16"/>
        <v>26400</v>
      </c>
    </row>
    <row r="15" spans="2:15">
      <c r="B15" s="346" t="s">
        <v>84</v>
      </c>
      <c r="C15" s="347">
        <f>C14/C3</f>
        <v>0.30030000000000001</v>
      </c>
      <c r="D15" s="347">
        <f t="shared" ref="D15:G15" si="17">D14/D3</f>
        <v>0.21956440000000002</v>
      </c>
      <c r="E15" s="347">
        <f t="shared" si="17"/>
        <v>0.13156879999999999</v>
      </c>
      <c r="F15" s="347">
        <f t="shared" si="17"/>
        <v>0.26357319999999995</v>
      </c>
      <c r="G15" s="347">
        <f t="shared" si="17"/>
        <v>0.2457696</v>
      </c>
      <c r="K15" s="334"/>
      <c r="L15" s="334"/>
      <c r="M15" s="334"/>
      <c r="N15" s="334"/>
      <c r="O15" s="334"/>
    </row>
    <row r="17" spans="1:15">
      <c r="B17" s="323" t="s">
        <v>392</v>
      </c>
      <c r="I17" s="323" t="s">
        <v>412</v>
      </c>
      <c r="K17" s="325">
        <v>2023</v>
      </c>
      <c r="L17" s="325" t="s">
        <v>626</v>
      </c>
      <c r="M17" s="325" t="s">
        <v>627</v>
      </c>
      <c r="N17" s="325" t="s">
        <v>628</v>
      </c>
      <c r="O17" s="325" t="s">
        <v>369</v>
      </c>
    </row>
    <row r="18" spans="1:15">
      <c r="B18" s="327" t="s">
        <v>80</v>
      </c>
      <c r="C18" s="329">
        <f>C9</f>
        <v>57900</v>
      </c>
      <c r="D18" s="329">
        <f t="shared" ref="D18:G18" si="18">D9</f>
        <v>57900</v>
      </c>
      <c r="E18" s="329">
        <f t="shared" si="18"/>
        <v>37900</v>
      </c>
      <c r="F18" s="329">
        <f t="shared" si="18"/>
        <v>67900</v>
      </c>
      <c r="G18" s="329">
        <f t="shared" si="18"/>
        <v>110400</v>
      </c>
      <c r="I18" s="330" t="s">
        <v>397</v>
      </c>
      <c r="J18" s="350" t="s">
        <v>413</v>
      </c>
      <c r="K18" s="279">
        <f>K5/K8</f>
        <v>0.27295714285714284</v>
      </c>
      <c r="L18" s="279">
        <f>L5/L8</f>
        <v>0.27295714285714284</v>
      </c>
      <c r="M18" s="279">
        <f>M5/M8</f>
        <v>0.17867142857142856</v>
      </c>
      <c r="N18" s="279">
        <f>N5/N8</f>
        <v>0.3201</v>
      </c>
      <c r="O18" s="279">
        <f>O5/O8</f>
        <v>0.30359999999999998</v>
      </c>
    </row>
    <row r="19" spans="1:15">
      <c r="B19" s="330" t="s">
        <v>393</v>
      </c>
      <c r="C19" s="331">
        <f t="shared" ref="C19:F19" si="19">K14</f>
        <v>14400</v>
      </c>
      <c r="D19" s="331">
        <f t="shared" si="19"/>
        <v>14400</v>
      </c>
      <c r="E19" s="331">
        <f t="shared" si="19"/>
        <v>14400</v>
      </c>
      <c r="F19" s="331">
        <f t="shared" si="19"/>
        <v>14400</v>
      </c>
      <c r="G19" s="331">
        <f>O14</f>
        <v>26400</v>
      </c>
      <c r="I19" s="330" t="s">
        <v>411</v>
      </c>
      <c r="J19" s="350" t="s">
        <v>360</v>
      </c>
      <c r="K19" s="279">
        <f>K5/((K32*K34)+K11)</f>
        <v>0.21229999999999999</v>
      </c>
      <c r="L19" s="279">
        <f>L5/((L32*L34)+L11)</f>
        <v>0.21229999999999999</v>
      </c>
      <c r="M19" s="279">
        <f>M5/((M32*M34)+M11)</f>
        <v>0.13896666666666666</v>
      </c>
      <c r="N19" s="279">
        <f>N5/((N32*N34)+N11)</f>
        <v>0.24896666666666667</v>
      </c>
      <c r="O19" s="279">
        <f>O5/((O32*O34)+O11+100000)</f>
        <v>0.18215999999999999</v>
      </c>
    </row>
    <row r="20" spans="1:15">
      <c r="B20" s="327" t="s">
        <v>133</v>
      </c>
      <c r="C20" s="331">
        <f>C18+C19</f>
        <v>72300</v>
      </c>
      <c r="D20" s="331">
        <f t="shared" ref="D20:G20" si="20">D18+D19</f>
        <v>72300</v>
      </c>
      <c r="E20" s="331">
        <f t="shared" si="20"/>
        <v>52300</v>
      </c>
      <c r="F20" s="331">
        <f t="shared" si="20"/>
        <v>82300</v>
      </c>
      <c r="G20" s="331">
        <f t="shared" si="20"/>
        <v>136800</v>
      </c>
      <c r="I20" s="330" t="s">
        <v>398</v>
      </c>
      <c r="J20" s="350" t="s">
        <v>400</v>
      </c>
      <c r="K20" s="279">
        <f>K5/((K33*K34)+K11)</f>
        <v>0.16570714285714286</v>
      </c>
      <c r="L20" s="279">
        <f>L5/((L33*L34)+L11)</f>
        <v>0.16570714285714286</v>
      </c>
      <c r="M20" s="279">
        <f>M5/((M33*M34)+M11)</f>
        <v>0.1657071428571428</v>
      </c>
      <c r="N20" s="279">
        <f>N5/((N33*N34)+N11)</f>
        <v>0.16570714285714283</v>
      </c>
      <c r="O20" s="279">
        <f>O5/((O33*O34)+O11)</f>
        <v>0.18191249999999998</v>
      </c>
    </row>
    <row r="21" spans="1:15">
      <c r="B21" s="346" t="s">
        <v>87</v>
      </c>
      <c r="C21" s="347">
        <f>C20/C3</f>
        <v>0.48199999999999998</v>
      </c>
      <c r="D21" s="347">
        <f t="shared" ref="D21:G21" si="21">D20/D3</f>
        <v>0.48199999999999998</v>
      </c>
      <c r="E21" s="347">
        <f t="shared" si="21"/>
        <v>0.34866666666666668</v>
      </c>
      <c r="F21" s="347">
        <f t="shared" si="21"/>
        <v>0.54866666666666664</v>
      </c>
      <c r="G21" s="347">
        <f t="shared" si="21"/>
        <v>0.49745454545454543</v>
      </c>
    </row>
    <row r="22" spans="1:15">
      <c r="C22" s="324"/>
      <c r="D22" s="610"/>
      <c r="E22" s="610"/>
      <c r="F22" s="610"/>
      <c r="G22" s="610"/>
      <c r="K22" s="324"/>
      <c r="L22" s="610"/>
      <c r="M22" s="610"/>
      <c r="N22" s="610"/>
      <c r="O22" s="610"/>
    </row>
    <row r="23" spans="1:15">
      <c r="B23" s="323" t="s">
        <v>403</v>
      </c>
      <c r="C23" s="324"/>
      <c r="D23" s="324"/>
      <c r="E23" s="324"/>
      <c r="F23" s="324"/>
      <c r="G23" s="324"/>
      <c r="I23" s="323" t="s">
        <v>414</v>
      </c>
      <c r="K23" s="325">
        <v>2023</v>
      </c>
      <c r="L23" s="325" t="s">
        <v>626</v>
      </c>
      <c r="M23" s="325" t="s">
        <v>627</v>
      </c>
      <c r="N23" s="325" t="s">
        <v>628</v>
      </c>
      <c r="O23" s="325" t="s">
        <v>369</v>
      </c>
    </row>
    <row r="24" spans="1:15">
      <c r="B24" s="330" t="s">
        <v>257</v>
      </c>
      <c r="C24" s="337">
        <v>0.115</v>
      </c>
      <c r="D24" s="337">
        <f t="shared" ref="D24:G27" si="22">C24</f>
        <v>0.115</v>
      </c>
      <c r="E24" s="337">
        <f t="shared" si="22"/>
        <v>0.115</v>
      </c>
      <c r="F24" s="337">
        <f t="shared" si="22"/>
        <v>0.115</v>
      </c>
      <c r="G24" s="337">
        <f t="shared" si="22"/>
        <v>0.115</v>
      </c>
      <c r="H24" s="338"/>
      <c r="I24" s="330" t="s">
        <v>407</v>
      </c>
      <c r="J24" s="350"/>
      <c r="K24" s="331">
        <f>K5/C35</f>
        <v>230611.66429587486</v>
      </c>
      <c r="L24" s="331">
        <f>L5/D35</f>
        <v>230611.66429587486</v>
      </c>
      <c r="M24" s="331">
        <f>M5/E35</f>
        <v>150953.05832147939</v>
      </c>
      <c r="N24" s="331">
        <f>N5/F35</f>
        <v>270440.96728307259</v>
      </c>
      <c r="O24" s="331">
        <f>O5/G35</f>
        <v>400544.21768707485</v>
      </c>
    </row>
    <row r="25" spans="1:15">
      <c r="B25" s="330" t="s">
        <v>160</v>
      </c>
      <c r="C25" s="337">
        <v>5.8000000000000003E-2</v>
      </c>
      <c r="D25" s="337">
        <f t="shared" si="22"/>
        <v>5.8000000000000003E-2</v>
      </c>
      <c r="E25" s="337">
        <f t="shared" si="22"/>
        <v>5.8000000000000003E-2</v>
      </c>
      <c r="F25" s="337">
        <f t="shared" si="22"/>
        <v>5.8000000000000003E-2</v>
      </c>
      <c r="G25" s="337">
        <f t="shared" si="22"/>
        <v>5.8000000000000003E-2</v>
      </c>
      <c r="H25" s="338"/>
      <c r="I25" s="330" t="s">
        <v>409</v>
      </c>
      <c r="J25" s="350"/>
      <c r="K25" s="331">
        <f>K5/C35-K11</f>
        <v>170611.66429587486</v>
      </c>
      <c r="L25" s="331">
        <f>L5/D35-L11</f>
        <v>170611.66429587486</v>
      </c>
      <c r="M25" s="331">
        <f>M5/E35-M11</f>
        <v>90953.058321479388</v>
      </c>
      <c r="N25" s="331">
        <f>N5/F35-N11</f>
        <v>210440.96728307259</v>
      </c>
      <c r="O25" s="331">
        <f>O5/G35-O11</f>
        <v>340544.21768707485</v>
      </c>
    </row>
    <row r="26" spans="1:15">
      <c r="B26" s="330" t="s">
        <v>404</v>
      </c>
      <c r="C26" s="337">
        <v>0.02</v>
      </c>
      <c r="D26" s="337">
        <f t="shared" si="22"/>
        <v>0.02</v>
      </c>
      <c r="E26" s="337">
        <f t="shared" si="22"/>
        <v>0.02</v>
      </c>
      <c r="F26" s="337">
        <f t="shared" si="22"/>
        <v>0.02</v>
      </c>
      <c r="G26" s="337">
        <f t="shared" si="22"/>
        <v>0.02</v>
      </c>
      <c r="H26" s="338"/>
      <c r="I26" s="330" t="s">
        <v>406</v>
      </c>
      <c r="J26" s="350"/>
      <c r="K26" s="331">
        <f>K10</f>
        <v>80000</v>
      </c>
      <c r="L26" s="331">
        <f>K26</f>
        <v>80000</v>
      </c>
      <c r="M26" s="331">
        <f t="shared" ref="M26:N26" si="23">L26</f>
        <v>80000</v>
      </c>
      <c r="N26" s="331">
        <f t="shared" si="23"/>
        <v>80000</v>
      </c>
      <c r="O26" s="331">
        <v>180000</v>
      </c>
    </row>
    <row r="27" spans="1:15">
      <c r="B27" s="330" t="s">
        <v>332</v>
      </c>
      <c r="C27" s="339">
        <v>1.2</v>
      </c>
      <c r="D27" s="335">
        <f t="shared" si="22"/>
        <v>1.2</v>
      </c>
      <c r="E27" s="335">
        <f t="shared" si="22"/>
        <v>1.2</v>
      </c>
      <c r="F27" s="335">
        <f t="shared" si="22"/>
        <v>1.2</v>
      </c>
      <c r="G27" s="335">
        <f t="shared" si="22"/>
        <v>1.2</v>
      </c>
      <c r="H27" s="338"/>
      <c r="I27" s="330" t="s">
        <v>408</v>
      </c>
      <c r="J27" s="350"/>
      <c r="K27" s="331">
        <f>K32*K34</f>
        <v>120000</v>
      </c>
      <c r="L27" s="331">
        <f>K27</f>
        <v>120000</v>
      </c>
      <c r="M27" s="331">
        <f t="shared" ref="M27:O27" si="24">L27</f>
        <v>120000</v>
      </c>
      <c r="N27" s="331">
        <f t="shared" si="24"/>
        <v>120000</v>
      </c>
      <c r="O27" s="331">
        <f t="shared" si="24"/>
        <v>120000</v>
      </c>
    </row>
    <row r="28" spans="1:15">
      <c r="B28" s="327" t="s">
        <v>629</v>
      </c>
      <c r="C28" s="353">
        <f>C24+(C25*C27)+C26</f>
        <v>0.20459999999999998</v>
      </c>
      <c r="D28" s="353">
        <f>C28</f>
        <v>0.20459999999999998</v>
      </c>
      <c r="E28" s="353">
        <f t="shared" ref="E28:G28" si="25">D28</f>
        <v>0.20459999999999998</v>
      </c>
      <c r="F28" s="353">
        <f t="shared" si="25"/>
        <v>0.20459999999999998</v>
      </c>
      <c r="G28" s="353">
        <f t="shared" si="25"/>
        <v>0.20459999999999998</v>
      </c>
      <c r="H28" s="340"/>
    </row>
    <row r="29" spans="1:15">
      <c r="D29" s="341"/>
      <c r="E29" s="341"/>
      <c r="F29" s="341"/>
      <c r="G29" s="341"/>
      <c r="H29" s="338"/>
      <c r="I29" s="326"/>
      <c r="J29" s="326"/>
      <c r="K29" s="326"/>
      <c r="L29" s="326"/>
      <c r="M29" s="326"/>
      <c r="N29" s="326"/>
      <c r="O29" s="326"/>
    </row>
    <row r="30" spans="1:15">
      <c r="A30" s="338"/>
      <c r="B30" s="323" t="s">
        <v>401</v>
      </c>
      <c r="H30" s="338"/>
      <c r="I30" s="323" t="s">
        <v>410</v>
      </c>
      <c r="K30" s="325">
        <v>2023</v>
      </c>
      <c r="L30" s="325" t="s">
        <v>626</v>
      </c>
      <c r="M30" s="325" t="s">
        <v>627</v>
      </c>
      <c r="N30" s="325" t="s">
        <v>628</v>
      </c>
      <c r="O30" s="325" t="s">
        <v>369</v>
      </c>
    </row>
    <row r="31" spans="1:15">
      <c r="A31" s="340"/>
      <c r="B31" s="330" t="s">
        <v>60</v>
      </c>
      <c r="C31" s="331">
        <f>K11</f>
        <v>60000</v>
      </c>
      <c r="D31" s="331">
        <f>L11</f>
        <v>60000</v>
      </c>
      <c r="E31" s="331">
        <f>M11</f>
        <v>60000</v>
      </c>
      <c r="F31" s="331">
        <f>N11</f>
        <v>60000</v>
      </c>
      <c r="G31" s="331">
        <f>O11</f>
        <v>60000</v>
      </c>
      <c r="H31" s="338"/>
      <c r="I31" s="327" t="s">
        <v>399</v>
      </c>
      <c r="J31" s="325" t="s">
        <v>413</v>
      </c>
      <c r="K31" s="355">
        <v>8</v>
      </c>
      <c r="L31" s="355">
        <f>K31</f>
        <v>8</v>
      </c>
      <c r="M31" s="355">
        <f t="shared" ref="M31:O31" si="26">L31</f>
        <v>8</v>
      </c>
      <c r="N31" s="355">
        <f t="shared" si="26"/>
        <v>8</v>
      </c>
      <c r="O31" s="355">
        <f t="shared" si="26"/>
        <v>8</v>
      </c>
    </row>
    <row r="32" spans="1:15">
      <c r="A32" s="351">
        <v>1.5</v>
      </c>
      <c r="B32" s="330" t="s">
        <v>36</v>
      </c>
      <c r="C32" s="279">
        <f>($A$32*$C$24)</f>
        <v>0.17250000000000001</v>
      </c>
      <c r="D32" s="352">
        <f>C32</f>
        <v>0.17250000000000001</v>
      </c>
      <c r="E32" s="352">
        <f t="shared" ref="E32:G32" si="27">D32</f>
        <v>0.17250000000000001</v>
      </c>
      <c r="F32" s="352">
        <f t="shared" si="27"/>
        <v>0.17250000000000001</v>
      </c>
      <c r="G32" s="352">
        <f t="shared" si="27"/>
        <v>0.17250000000000001</v>
      </c>
      <c r="H32" s="338"/>
      <c r="I32" s="327" t="s">
        <v>360</v>
      </c>
      <c r="J32" s="325" t="s">
        <v>360</v>
      </c>
      <c r="K32" s="355">
        <v>12</v>
      </c>
      <c r="L32" s="355">
        <v>12</v>
      </c>
      <c r="M32" s="355">
        <v>12</v>
      </c>
      <c r="N32" s="355">
        <v>12</v>
      </c>
      <c r="O32" s="355">
        <v>12</v>
      </c>
    </row>
    <row r="33" spans="2:15">
      <c r="B33" s="330" t="s">
        <v>105</v>
      </c>
      <c r="C33" s="331">
        <f>K10</f>
        <v>80000</v>
      </c>
      <c r="D33" s="331">
        <f>L10</f>
        <v>80000</v>
      </c>
      <c r="E33" s="331">
        <f>M10</f>
        <v>80000</v>
      </c>
      <c r="F33" s="331">
        <f>N10</f>
        <v>80000</v>
      </c>
      <c r="G33" s="331">
        <f>O10</f>
        <v>180000</v>
      </c>
      <c r="H33" s="338"/>
      <c r="I33" s="327" t="s">
        <v>264</v>
      </c>
      <c r="J33" s="325" t="s">
        <v>400</v>
      </c>
      <c r="K33" s="355">
        <f>K25/K34</f>
        <v>17.061166429587484</v>
      </c>
      <c r="L33" s="355">
        <f>L25/L34</f>
        <v>17.061166429587484</v>
      </c>
      <c r="M33" s="355">
        <f>M25/M34</f>
        <v>9.0953058321479396</v>
      </c>
      <c r="N33" s="355">
        <f>N25/N34</f>
        <v>21.04409672830726</v>
      </c>
      <c r="O33" s="355">
        <f>O25/O34</f>
        <v>17.027210884353742</v>
      </c>
    </row>
    <row r="34" spans="2:15">
      <c r="B34" s="330" t="s">
        <v>402</v>
      </c>
      <c r="C34" s="342">
        <f>C28</f>
        <v>0.20459999999999998</v>
      </c>
      <c r="D34" s="342">
        <f>D28</f>
        <v>0.20459999999999998</v>
      </c>
      <c r="E34" s="342">
        <f>E28</f>
        <v>0.20459999999999998</v>
      </c>
      <c r="F34" s="342">
        <f>F28</f>
        <v>0.20459999999999998</v>
      </c>
      <c r="G34" s="342">
        <f>G28</f>
        <v>0.20459999999999998</v>
      </c>
      <c r="I34" s="330" t="s">
        <v>405</v>
      </c>
      <c r="J34" s="350"/>
      <c r="K34" s="354">
        <v>10000</v>
      </c>
      <c r="L34" s="354">
        <v>10000</v>
      </c>
      <c r="M34" s="354">
        <v>10000</v>
      </c>
      <c r="N34" s="354">
        <v>10000</v>
      </c>
      <c r="O34" s="354">
        <v>20000</v>
      </c>
    </row>
    <row r="35" spans="2:15">
      <c r="B35" s="327" t="s">
        <v>7</v>
      </c>
      <c r="C35" s="353">
        <f>((C31/(C31+C33))*C32*(1-$J$4))+((C33/(C31+C33))*C34)</f>
        <v>0.16570714285714283</v>
      </c>
      <c r="D35" s="353">
        <f t="shared" ref="D35:G35" si="28">((D31/(D31+D33))*D32*(1-$J$4))+((D33/(D31+D33))*D34)</f>
        <v>0.16570714285714283</v>
      </c>
      <c r="E35" s="353">
        <f t="shared" si="28"/>
        <v>0.16570714285714283</v>
      </c>
      <c r="F35" s="353">
        <f t="shared" si="28"/>
        <v>0.16570714285714283</v>
      </c>
      <c r="G35" s="353">
        <f t="shared" si="28"/>
        <v>0.18191249999999998</v>
      </c>
    </row>
    <row r="36" spans="2:15">
      <c r="K36" s="263"/>
      <c r="L36" s="263"/>
      <c r="M36" s="263"/>
      <c r="N36" s="263"/>
      <c r="O36" s="263"/>
    </row>
    <row r="38" spans="2:15">
      <c r="C38" s="343"/>
    </row>
    <row r="43" spans="2:15">
      <c r="K43" s="344"/>
      <c r="L43" s="344"/>
      <c r="M43" s="344"/>
      <c r="N43" s="344"/>
      <c r="O43" s="344"/>
    </row>
    <row r="44" spans="2:15">
      <c r="K44" s="344"/>
      <c r="L44" s="344"/>
      <c r="M44" s="344"/>
      <c r="N44" s="344"/>
      <c r="O44" s="344"/>
    </row>
    <row r="45" spans="2:15">
      <c r="K45" s="344"/>
      <c r="L45" s="344"/>
      <c r="M45" s="344"/>
      <c r="N45" s="344"/>
      <c r="O45" s="344"/>
    </row>
  </sheetData>
  <mergeCells count="4">
    <mergeCell ref="D1:G1"/>
    <mergeCell ref="L1:O1"/>
    <mergeCell ref="L22:O22"/>
    <mergeCell ref="D22:G22"/>
  </mergeCells>
  <pageMargins left="0.511811024" right="0.511811024" top="0.78740157499999996" bottom="0.78740157499999996" header="0.31496062000000002" footer="0.31496062000000002"/>
  <pageSetup paperSize="9" scale="58" orientation="landscape" horizontalDpi="0" verticalDpi="0" r:id="rId1"/>
  <ignoredErrors>
    <ignoredError sqref="L12:N12" formula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130C2-98B4-4C1D-9433-E8F898192231}">
  <sheetPr codeName="Sheet122"/>
  <dimension ref="B1:K32"/>
  <sheetViews>
    <sheetView showGridLines="0" zoomScale="86" zoomScaleNormal="86" workbookViewId="0">
      <selection activeCell="I27" sqref="I27"/>
    </sheetView>
  </sheetViews>
  <sheetFormatPr defaultColWidth="7.75" defaultRowHeight="13.5"/>
  <cols>
    <col min="1" max="2" width="2.625" style="357" customWidth="1"/>
    <col min="3" max="3" width="23.75" style="357" customWidth="1"/>
    <col min="4" max="4" width="7.375" style="359" customWidth="1"/>
    <col min="5" max="5" width="2.625" style="357" customWidth="1"/>
    <col min="6" max="6" width="23.75" style="357" customWidth="1"/>
    <col min="7" max="7" width="7.375" style="359" customWidth="1"/>
    <col min="8" max="8" width="5.625" style="363" customWidth="1"/>
    <col min="9" max="9" width="35.375" style="357" bestFit="1" customWidth="1"/>
    <col min="10" max="10" width="7.375" style="359" customWidth="1"/>
    <col min="11" max="16384" width="7.75" style="357"/>
  </cols>
  <sheetData>
    <row r="1" spans="2:11" s="287" customFormat="1">
      <c r="D1" s="343"/>
      <c r="G1" s="343"/>
      <c r="H1" s="360"/>
      <c r="J1" s="343"/>
    </row>
    <row r="2" spans="2:11" s="356" customFormat="1">
      <c r="B2" s="323"/>
      <c r="C2" s="323" t="s">
        <v>547</v>
      </c>
      <c r="D2" s="371"/>
      <c r="F2" s="323" t="s">
        <v>546</v>
      </c>
      <c r="G2" s="371"/>
      <c r="H2" s="366"/>
      <c r="I2" s="356" t="s">
        <v>612</v>
      </c>
      <c r="J2" s="365"/>
    </row>
    <row r="3" spans="2:11" s="356" customFormat="1">
      <c r="C3" s="107" t="s">
        <v>320</v>
      </c>
      <c r="D3" s="123">
        <v>250</v>
      </c>
      <c r="F3" s="107" t="s">
        <v>294</v>
      </c>
      <c r="G3" s="123">
        <v>330</v>
      </c>
      <c r="H3" s="361"/>
      <c r="I3" s="105" t="s">
        <v>120</v>
      </c>
      <c r="J3" s="100">
        <v>1250</v>
      </c>
      <c r="K3" s="99"/>
    </row>
    <row r="4" spans="2:11">
      <c r="C4" s="107" t="s">
        <v>321</v>
      </c>
      <c r="D4" s="123">
        <v>530</v>
      </c>
      <c r="F4" s="107" t="s">
        <v>322</v>
      </c>
      <c r="G4" s="123">
        <v>80</v>
      </c>
      <c r="H4" s="361"/>
      <c r="I4" s="104" t="s">
        <v>631</v>
      </c>
      <c r="J4" s="101">
        <v>-470</v>
      </c>
      <c r="K4" s="99"/>
    </row>
    <row r="5" spans="2:11">
      <c r="C5" s="107" t="s">
        <v>92</v>
      </c>
      <c r="D5" s="123">
        <v>320</v>
      </c>
      <c r="F5" s="107" t="s">
        <v>323</v>
      </c>
      <c r="G5" s="123">
        <v>250</v>
      </c>
      <c r="H5" s="361"/>
      <c r="I5" s="104" t="s">
        <v>47</v>
      </c>
      <c r="J5" s="101">
        <v>-110</v>
      </c>
      <c r="K5" s="98"/>
    </row>
    <row r="6" spans="2:11" s="356" customFormat="1">
      <c r="C6" s="108" t="s">
        <v>89</v>
      </c>
      <c r="D6" s="372">
        <f>SUM(D3:D5)</f>
        <v>1100</v>
      </c>
      <c r="F6" s="108" t="s">
        <v>94</v>
      </c>
      <c r="G6" s="372">
        <f>SUM(G3:G5)</f>
        <v>660</v>
      </c>
      <c r="H6" s="362"/>
      <c r="I6" s="105" t="s">
        <v>430</v>
      </c>
      <c r="J6" s="100">
        <f>J3+J4+J5</f>
        <v>670</v>
      </c>
      <c r="K6" s="98"/>
    </row>
    <row r="7" spans="2:11" s="356" customFormat="1">
      <c r="C7" s="107"/>
      <c r="D7" s="372"/>
      <c r="F7" s="107"/>
      <c r="G7" s="372"/>
      <c r="H7" s="362"/>
      <c r="I7" s="369" t="s">
        <v>644</v>
      </c>
      <c r="J7" s="370">
        <f>J6/J$3</f>
        <v>0.53600000000000003</v>
      </c>
      <c r="K7" s="98"/>
    </row>
    <row r="8" spans="2:11" s="356" customFormat="1">
      <c r="C8" s="107" t="s">
        <v>396</v>
      </c>
      <c r="D8" s="123">
        <v>1120</v>
      </c>
      <c r="F8" s="107" t="s">
        <v>324</v>
      </c>
      <c r="G8" s="123">
        <v>600</v>
      </c>
      <c r="H8" s="361"/>
      <c r="I8" s="104" t="s">
        <v>632</v>
      </c>
      <c r="J8" s="101">
        <v>-240</v>
      </c>
      <c r="K8" s="358"/>
    </row>
    <row r="9" spans="2:11" s="356" customFormat="1">
      <c r="C9" s="107" t="s">
        <v>48</v>
      </c>
      <c r="D9" s="373">
        <v>100</v>
      </c>
      <c r="F9" s="108" t="s">
        <v>101</v>
      </c>
      <c r="G9" s="374">
        <f>G8</f>
        <v>600</v>
      </c>
      <c r="H9" s="364"/>
      <c r="I9" s="105" t="s">
        <v>633</v>
      </c>
      <c r="J9" s="100">
        <f>J6+J8</f>
        <v>430</v>
      </c>
      <c r="K9" s="98"/>
    </row>
    <row r="10" spans="2:11">
      <c r="C10" s="108" t="s">
        <v>11</v>
      </c>
      <c r="D10" s="374">
        <f>D8+D9</f>
        <v>1220</v>
      </c>
      <c r="F10" s="367"/>
      <c r="G10" s="373"/>
      <c r="I10" s="369" t="s">
        <v>325</v>
      </c>
      <c r="J10" s="370">
        <f>J9/J$3</f>
        <v>0.34399999999999997</v>
      </c>
      <c r="K10" s="99"/>
    </row>
    <row r="11" spans="2:11">
      <c r="C11" s="367"/>
      <c r="D11" s="373"/>
      <c r="F11" s="368" t="s">
        <v>104</v>
      </c>
      <c r="G11" s="374">
        <v>1060</v>
      </c>
      <c r="H11" s="364"/>
      <c r="I11" s="104" t="s">
        <v>326</v>
      </c>
      <c r="J11" s="101">
        <v>-72</v>
      </c>
      <c r="K11" s="358"/>
    </row>
    <row r="12" spans="2:11">
      <c r="C12" s="368" t="s">
        <v>27</v>
      </c>
      <c r="D12" s="374">
        <f>D6+D10</f>
        <v>2320</v>
      </c>
      <c r="F12" s="368" t="s">
        <v>630</v>
      </c>
      <c r="G12" s="374">
        <f>G6+G9+G11</f>
        <v>2320</v>
      </c>
      <c r="H12" s="364"/>
      <c r="I12" s="104" t="s">
        <v>327</v>
      </c>
      <c r="J12" s="101">
        <v>-34.470588235294201</v>
      </c>
      <c r="K12" s="358"/>
    </row>
    <row r="13" spans="2:11">
      <c r="I13" s="105" t="s">
        <v>328</v>
      </c>
      <c r="J13" s="100">
        <f>J9+J11+J12</f>
        <v>323.5294117647058</v>
      </c>
      <c r="K13" s="358"/>
    </row>
    <row r="14" spans="2:11">
      <c r="I14" s="104" t="s">
        <v>213</v>
      </c>
      <c r="J14" s="101">
        <v>-110</v>
      </c>
      <c r="K14" s="358"/>
    </row>
    <row r="15" spans="2:11">
      <c r="C15" s="611" t="s">
        <v>638</v>
      </c>
      <c r="D15" s="611"/>
      <c r="E15" s="611"/>
      <c r="F15" s="611"/>
      <c r="G15" s="611"/>
      <c r="I15" s="105" t="s">
        <v>214</v>
      </c>
      <c r="J15" s="100">
        <f>J13+J14</f>
        <v>213.5294117647058</v>
      </c>
      <c r="K15" s="98"/>
    </row>
    <row r="16" spans="2:11">
      <c r="C16" s="367" t="s">
        <v>634</v>
      </c>
      <c r="D16" s="373">
        <f>D4+D5-G3-G4</f>
        <v>440</v>
      </c>
      <c r="F16" s="367" t="s">
        <v>557</v>
      </c>
      <c r="G16" s="373">
        <f>G5+G8</f>
        <v>850</v>
      </c>
      <c r="I16" s="369" t="s">
        <v>329</v>
      </c>
      <c r="J16" s="370">
        <f>J15/J$3</f>
        <v>0.17082352941176465</v>
      </c>
      <c r="K16" s="99"/>
    </row>
    <row r="17" spans="3:10">
      <c r="F17" s="367" t="s">
        <v>330</v>
      </c>
      <c r="G17" s="373">
        <f>-D3</f>
        <v>-250</v>
      </c>
    </row>
    <row r="18" spans="3:10">
      <c r="C18" s="367" t="s">
        <v>635</v>
      </c>
      <c r="D18" s="373">
        <f>D8+D9</f>
        <v>1220</v>
      </c>
      <c r="F18" s="367" t="s">
        <v>108</v>
      </c>
      <c r="G18" s="373">
        <f>SUM(G16:G17)</f>
        <v>600</v>
      </c>
    </row>
    <row r="20" spans="3:10">
      <c r="F20" s="367" t="s">
        <v>102</v>
      </c>
      <c r="G20" s="373">
        <f>G11</f>
        <v>1060</v>
      </c>
    </row>
    <row r="21" spans="3:10">
      <c r="C21" s="368" t="s">
        <v>636</v>
      </c>
      <c r="D21" s="374">
        <f>D16+D18</f>
        <v>1660</v>
      </c>
      <c r="F21" s="368" t="s">
        <v>637</v>
      </c>
      <c r="G21" s="374">
        <f>G20+G18</f>
        <v>1660</v>
      </c>
    </row>
    <row r="26" spans="3:10">
      <c r="J26" s="375"/>
    </row>
    <row r="31" spans="3:10">
      <c r="J31" s="375"/>
    </row>
    <row r="32" spans="3:10">
      <c r="J32" s="375"/>
    </row>
  </sheetData>
  <mergeCells count="1">
    <mergeCell ref="C15:G15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9F23A-CBEC-4D55-A298-1394D34AD256}">
  <sheetPr codeName="Sheet138"/>
  <dimension ref="B2:N20"/>
  <sheetViews>
    <sheetView showGridLines="0" zoomScale="77" zoomScaleNormal="77" workbookViewId="0">
      <selection activeCell="C13" sqref="C13"/>
    </sheetView>
  </sheetViews>
  <sheetFormatPr defaultColWidth="9" defaultRowHeight="13.5"/>
  <cols>
    <col min="1" max="2" width="2.625" style="202" customWidth="1"/>
    <col min="3" max="3" width="41.25" style="202" bestFit="1" customWidth="1"/>
    <col min="4" max="4" width="9" style="33" customWidth="1"/>
    <col min="5" max="9" width="9" style="33"/>
    <col min="10" max="10" width="6.125" style="202" customWidth="1"/>
    <col min="11" max="11" width="42.625" style="202" bestFit="1" customWidth="1"/>
    <col min="12" max="16384" width="9" style="202"/>
  </cols>
  <sheetData>
    <row r="2" spans="2:14" s="99" customFormat="1">
      <c r="B2" s="398" t="s">
        <v>179</v>
      </c>
      <c r="C2" s="398"/>
      <c r="D2" s="32">
        <v>2019</v>
      </c>
      <c r="E2" s="32" t="s">
        <v>266</v>
      </c>
      <c r="F2" s="32" t="s">
        <v>267</v>
      </c>
      <c r="G2" s="32" t="s">
        <v>268</v>
      </c>
      <c r="H2" s="32" t="s">
        <v>269</v>
      </c>
      <c r="I2" s="32" t="s">
        <v>270</v>
      </c>
      <c r="J2" s="399"/>
      <c r="K2" s="377" t="s">
        <v>180</v>
      </c>
      <c r="L2" s="378"/>
    </row>
    <row r="3" spans="2:14" s="99" customFormat="1">
      <c r="C3" s="105" t="s">
        <v>181</v>
      </c>
      <c r="D3" s="400">
        <v>10000</v>
      </c>
      <c r="E3" s="400">
        <f>D3*(1+E4)</f>
        <v>11500</v>
      </c>
      <c r="F3" s="400">
        <f>E3*(1+F4)</f>
        <v>12650.000000000002</v>
      </c>
      <c r="G3" s="400">
        <f>F3*(1+G4)</f>
        <v>13282.500000000002</v>
      </c>
      <c r="H3" s="400">
        <f>G3*(1+H4)</f>
        <v>13946.625000000002</v>
      </c>
      <c r="I3" s="400">
        <f>H3*(1+I4)</f>
        <v>13946.625000000002</v>
      </c>
      <c r="J3" s="379"/>
      <c r="L3" s="378"/>
    </row>
    <row r="4" spans="2:14" s="99" customFormat="1">
      <c r="C4" s="105" t="s">
        <v>182</v>
      </c>
      <c r="D4" s="42" t="s">
        <v>183</v>
      </c>
      <c r="E4" s="401">
        <v>0.15</v>
      </c>
      <c r="F4" s="401">
        <v>0.1</v>
      </c>
      <c r="G4" s="401">
        <v>0.05</v>
      </c>
      <c r="H4" s="401">
        <v>0.05</v>
      </c>
      <c r="I4" s="401">
        <v>0</v>
      </c>
      <c r="J4" s="381"/>
      <c r="L4" s="378"/>
    </row>
    <row r="5" spans="2:14" s="99" customFormat="1">
      <c r="C5" s="105" t="s">
        <v>184</v>
      </c>
      <c r="D5" s="401">
        <v>0.25</v>
      </c>
      <c r="E5" s="401">
        <v>0.25</v>
      </c>
      <c r="F5" s="401">
        <v>0.3</v>
      </c>
      <c r="G5" s="401">
        <f>F5</f>
        <v>0.3</v>
      </c>
      <c r="H5" s="401">
        <f>G5</f>
        <v>0.3</v>
      </c>
      <c r="I5" s="401">
        <f>H5</f>
        <v>0.3</v>
      </c>
      <c r="J5" s="381"/>
      <c r="L5" s="378"/>
    </row>
    <row r="6" spans="2:14" s="99" customFormat="1">
      <c r="C6" s="105" t="s">
        <v>185</v>
      </c>
      <c r="D6" s="42">
        <v>300</v>
      </c>
      <c r="E6" s="42">
        <v>330</v>
      </c>
      <c r="F6" s="42">
        <v>360</v>
      </c>
      <c r="G6" s="42">
        <v>400</v>
      </c>
      <c r="H6" s="42">
        <v>380</v>
      </c>
      <c r="I6" s="42">
        <v>380</v>
      </c>
      <c r="J6" s="380"/>
      <c r="L6" s="378"/>
    </row>
    <row r="7" spans="2:14" s="99" customFormat="1">
      <c r="D7" s="35"/>
      <c r="E7" s="35"/>
      <c r="F7" s="35"/>
      <c r="G7" s="35"/>
      <c r="H7" s="35"/>
      <c r="I7" s="35"/>
      <c r="J7" s="380"/>
      <c r="L7" s="378"/>
    </row>
    <row r="8" spans="2:14" s="98" customFormat="1">
      <c r="C8" s="104" t="s">
        <v>186</v>
      </c>
      <c r="D8" s="402">
        <f t="shared" ref="D8:I8" si="0">D3*D5*D6</f>
        <v>750000</v>
      </c>
      <c r="E8" s="402">
        <f t="shared" si="0"/>
        <v>948750</v>
      </c>
      <c r="F8" s="402">
        <f t="shared" si="0"/>
        <v>1366200.0000000002</v>
      </c>
      <c r="G8" s="402">
        <f t="shared" si="0"/>
        <v>1593900.0000000002</v>
      </c>
      <c r="H8" s="402">
        <f t="shared" si="0"/>
        <v>1589915.25</v>
      </c>
      <c r="I8" s="402">
        <f t="shared" si="0"/>
        <v>1589915.25</v>
      </c>
      <c r="J8" s="382"/>
      <c r="L8" s="383"/>
    </row>
    <row r="9" spans="2:14" s="99" customFormat="1">
      <c r="C9" s="105" t="s">
        <v>187</v>
      </c>
      <c r="D9" s="52">
        <v>0.125</v>
      </c>
      <c r="E9" s="52">
        <f>D9</f>
        <v>0.125</v>
      </c>
      <c r="F9" s="52">
        <f>E9</f>
        <v>0.125</v>
      </c>
      <c r="G9" s="52">
        <f>F9</f>
        <v>0.125</v>
      </c>
      <c r="H9" s="52">
        <f>G9</f>
        <v>0.125</v>
      </c>
      <c r="I9" s="52">
        <f>H9</f>
        <v>0.125</v>
      </c>
      <c r="J9" s="384"/>
      <c r="L9" s="378"/>
    </row>
    <row r="10" spans="2:14" s="98" customFormat="1">
      <c r="C10" s="104" t="s">
        <v>188</v>
      </c>
      <c r="D10" s="44" t="s">
        <v>183</v>
      </c>
      <c r="E10" s="403">
        <f>E8/D8-1</f>
        <v>0.2649999999999999</v>
      </c>
      <c r="F10" s="403">
        <f>F8/E8-1</f>
        <v>0.44000000000000017</v>
      </c>
      <c r="G10" s="403">
        <f>G8/F8-1</f>
        <v>0.16666666666666674</v>
      </c>
      <c r="H10" s="403">
        <f>H8/G8-1</f>
        <v>-2.5000000000001688E-3</v>
      </c>
      <c r="I10" s="403">
        <f>I8/H8-1</f>
        <v>0</v>
      </c>
      <c r="J10" s="385"/>
      <c r="K10" s="98" t="s">
        <v>189</v>
      </c>
      <c r="L10" s="383"/>
      <c r="N10" s="99"/>
    </row>
    <row r="11" spans="2:14" s="99" customFormat="1">
      <c r="C11" s="105" t="s">
        <v>190</v>
      </c>
      <c r="D11" s="42">
        <v>200</v>
      </c>
      <c r="E11" s="42">
        <v>250</v>
      </c>
      <c r="F11" s="42">
        <v>250</v>
      </c>
      <c r="G11" s="42">
        <v>250</v>
      </c>
      <c r="H11" s="42">
        <v>250</v>
      </c>
      <c r="I11" s="42">
        <v>250</v>
      </c>
      <c r="J11" s="380"/>
      <c r="L11" s="378"/>
    </row>
    <row r="12" spans="2:14" s="98" customFormat="1">
      <c r="C12" s="104" t="s">
        <v>191</v>
      </c>
      <c r="D12" s="404">
        <f t="shared" ref="D12:I12" si="1">((D6*(1-D9))-D11)/(D6*(1-D9))</f>
        <v>0.23809523809523808</v>
      </c>
      <c r="E12" s="404">
        <f t="shared" si="1"/>
        <v>0.13419913419913421</v>
      </c>
      <c r="F12" s="404">
        <f t="shared" si="1"/>
        <v>0.20634920634920634</v>
      </c>
      <c r="G12" s="404">
        <f t="shared" si="1"/>
        <v>0.2857142857142857</v>
      </c>
      <c r="H12" s="404">
        <f t="shared" si="1"/>
        <v>0.24812030075187969</v>
      </c>
      <c r="I12" s="404">
        <f t="shared" si="1"/>
        <v>0.24812030075187969</v>
      </c>
      <c r="J12" s="386"/>
      <c r="K12" s="98" t="s">
        <v>192</v>
      </c>
      <c r="L12" s="383"/>
      <c r="N12" s="99"/>
    </row>
    <row r="13" spans="2:14" s="99" customFormat="1">
      <c r="C13" s="105" t="s">
        <v>193</v>
      </c>
      <c r="D13" s="405">
        <v>0.05</v>
      </c>
      <c r="E13" s="405">
        <f>+D13</f>
        <v>0.05</v>
      </c>
      <c r="F13" s="405">
        <v>0.05</v>
      </c>
      <c r="G13" s="405">
        <f>+F13</f>
        <v>0.05</v>
      </c>
      <c r="H13" s="405">
        <f>+G13</f>
        <v>0.05</v>
      </c>
      <c r="I13" s="405">
        <f>+H13</f>
        <v>0.05</v>
      </c>
      <c r="J13" s="387"/>
      <c r="K13" s="99" t="s">
        <v>194</v>
      </c>
      <c r="L13" s="378"/>
    </row>
    <row r="14" spans="2:14" s="99" customFormat="1">
      <c r="C14" s="105" t="s">
        <v>195</v>
      </c>
      <c r="D14" s="42" t="s">
        <v>183</v>
      </c>
      <c r="E14" s="405">
        <v>0.25</v>
      </c>
      <c r="F14" s="405">
        <v>0.3</v>
      </c>
      <c r="G14" s="405">
        <v>0.05</v>
      </c>
      <c r="H14" s="405">
        <v>0.05</v>
      </c>
      <c r="I14" s="405">
        <v>0</v>
      </c>
      <c r="J14" s="387"/>
      <c r="K14" s="99" t="s">
        <v>196</v>
      </c>
      <c r="L14" s="378"/>
    </row>
    <row r="15" spans="2:14" s="99" customFormat="1">
      <c r="C15" s="105" t="s">
        <v>83</v>
      </c>
      <c r="D15" s="405">
        <v>0.34</v>
      </c>
      <c r="E15" s="405">
        <f>+D15</f>
        <v>0.34</v>
      </c>
      <c r="F15" s="405">
        <f>+E15</f>
        <v>0.34</v>
      </c>
      <c r="G15" s="405">
        <f>+F15</f>
        <v>0.34</v>
      </c>
      <c r="H15" s="405">
        <f>+G15</f>
        <v>0.34</v>
      </c>
      <c r="I15" s="405">
        <f>+H15</f>
        <v>0.34</v>
      </c>
      <c r="J15" s="387"/>
      <c r="K15" s="99" t="s">
        <v>197</v>
      </c>
      <c r="L15" s="378"/>
    </row>
    <row r="16" spans="2:14" s="98" customFormat="1" ht="9.9499999999999993" customHeight="1">
      <c r="D16" s="38"/>
      <c r="E16" s="394"/>
      <c r="F16" s="394"/>
      <c r="G16" s="394"/>
      <c r="H16" s="394"/>
      <c r="I16" s="394"/>
      <c r="J16" s="388"/>
      <c r="L16" s="383"/>
      <c r="N16" s="99"/>
    </row>
    <row r="17" spans="2:12" s="99" customFormat="1">
      <c r="B17" s="398" t="s">
        <v>198</v>
      </c>
      <c r="C17" s="398"/>
      <c r="D17" s="32">
        <v>2019</v>
      </c>
      <c r="E17" s="32" t="s">
        <v>266</v>
      </c>
      <c r="F17" s="32" t="s">
        <v>267</v>
      </c>
      <c r="G17" s="32" t="s">
        <v>268</v>
      </c>
      <c r="H17" s="32" t="s">
        <v>269</v>
      </c>
      <c r="I17" s="32" t="s">
        <v>270</v>
      </c>
      <c r="J17" s="399"/>
      <c r="K17" s="377" t="s">
        <v>180</v>
      </c>
      <c r="L17" s="378"/>
    </row>
    <row r="18" spans="2:12" s="99" customFormat="1">
      <c r="C18" s="104" t="s">
        <v>199</v>
      </c>
      <c r="D18" s="404">
        <f>10%</f>
        <v>0.1</v>
      </c>
      <c r="E18" s="404">
        <f>D18</f>
        <v>0.1</v>
      </c>
      <c r="F18" s="404">
        <f>E18</f>
        <v>0.1</v>
      </c>
      <c r="G18" s="404">
        <f>F18</f>
        <v>0.1</v>
      </c>
      <c r="H18" s="404">
        <f>G18</f>
        <v>0.1</v>
      </c>
      <c r="I18" s="404">
        <f>H18</f>
        <v>0.1</v>
      </c>
      <c r="J18" s="389"/>
      <c r="K18" s="99" t="s">
        <v>200</v>
      </c>
      <c r="L18" s="378">
        <f>100/10</f>
        <v>10</v>
      </c>
    </row>
    <row r="19" spans="2:12" s="99" customFormat="1">
      <c r="B19" s="390"/>
      <c r="C19" s="406" t="s">
        <v>201</v>
      </c>
      <c r="D19" s="404">
        <f t="shared" ref="D19:I19" si="2">$L19/360</f>
        <v>0.125</v>
      </c>
      <c r="E19" s="404">
        <f t="shared" si="2"/>
        <v>0.125</v>
      </c>
      <c r="F19" s="404">
        <f t="shared" si="2"/>
        <v>0.125</v>
      </c>
      <c r="G19" s="404">
        <f t="shared" si="2"/>
        <v>0.125</v>
      </c>
      <c r="H19" s="404">
        <f t="shared" si="2"/>
        <v>0.125</v>
      </c>
      <c r="I19" s="404">
        <f t="shared" si="2"/>
        <v>0.125</v>
      </c>
      <c r="J19" s="389"/>
      <c r="K19" s="99" t="s">
        <v>202</v>
      </c>
      <c r="L19" s="378">
        <v>45</v>
      </c>
    </row>
    <row r="20" spans="2:12" s="99" customFormat="1">
      <c r="C20" s="104" t="s">
        <v>203</v>
      </c>
      <c r="D20" s="402" t="s">
        <v>183</v>
      </c>
      <c r="E20" s="402">
        <v>150000</v>
      </c>
      <c r="F20" s="402">
        <v>80000</v>
      </c>
      <c r="G20" s="402">
        <v>40000</v>
      </c>
      <c r="H20" s="402">
        <v>45000</v>
      </c>
      <c r="I20" s="402">
        <v>50000</v>
      </c>
      <c r="J20" s="382"/>
      <c r="K20" s="99" t="s">
        <v>204</v>
      </c>
      <c r="L20" s="378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89B74-1475-44B7-9E68-86C5F506025B}">
  <sheetPr codeName="Sheet139"/>
  <dimension ref="B2:P21"/>
  <sheetViews>
    <sheetView showGridLines="0" zoomScale="75" zoomScaleNormal="75" workbookViewId="0">
      <selection activeCell="F9" sqref="F9"/>
    </sheetView>
  </sheetViews>
  <sheetFormatPr defaultColWidth="9" defaultRowHeight="12.75" customHeight="1"/>
  <cols>
    <col min="1" max="3" width="2.625" style="202" customWidth="1"/>
    <col min="4" max="4" width="34.625" style="202" bestFit="1" customWidth="1"/>
    <col min="5" max="5" width="9.125" style="33" bestFit="1" customWidth="1"/>
    <col min="6" max="6" width="9.625" style="33" bestFit="1" customWidth="1"/>
    <col min="7" max="10" width="10.5" style="33" bestFit="1" customWidth="1"/>
    <col min="11" max="16384" width="9" style="202"/>
  </cols>
  <sheetData>
    <row r="2" spans="2:16" s="98" customFormat="1" ht="12.75" customHeight="1">
      <c r="B2" s="38"/>
      <c r="C2" s="38"/>
      <c r="D2" s="38"/>
      <c r="E2" s="38"/>
      <c r="F2" s="38"/>
      <c r="G2" s="38"/>
      <c r="H2" s="38"/>
      <c r="I2" s="38"/>
      <c r="J2" s="38"/>
      <c r="L2" s="383"/>
      <c r="N2" s="99"/>
    </row>
    <row r="3" spans="2:16" s="99" customFormat="1" ht="12.75" customHeight="1">
      <c r="B3" s="398" t="s">
        <v>73</v>
      </c>
      <c r="C3" s="398"/>
      <c r="D3" s="398"/>
      <c r="E3" s="32">
        <v>2019</v>
      </c>
      <c r="F3" s="32" t="s">
        <v>266</v>
      </c>
      <c r="G3" s="32" t="s">
        <v>267</v>
      </c>
      <c r="H3" s="32" t="s">
        <v>268</v>
      </c>
      <c r="I3" s="32" t="s">
        <v>269</v>
      </c>
      <c r="J3" s="32" t="s">
        <v>270</v>
      </c>
      <c r="K3" s="398"/>
      <c r="L3" s="378"/>
    </row>
    <row r="4" spans="2:16" s="98" customFormat="1" ht="12.75" customHeight="1">
      <c r="C4" s="98" t="s">
        <v>186</v>
      </c>
      <c r="E4" s="206">
        <f>'Cap 10 Vegas 1'!D8</f>
        <v>750000</v>
      </c>
      <c r="F4" s="206">
        <f>'Cap 10 Vegas 1'!E8</f>
        <v>948750</v>
      </c>
      <c r="G4" s="206">
        <f>'Cap 10 Vegas 1'!F8</f>
        <v>1366200.0000000002</v>
      </c>
      <c r="H4" s="206">
        <f>'Cap 10 Vegas 1'!G8</f>
        <v>1593900.0000000002</v>
      </c>
      <c r="I4" s="206">
        <f>'Cap 10 Vegas 1'!H8</f>
        <v>1589915.25</v>
      </c>
      <c r="J4" s="206">
        <f>'Cap 10 Vegas 1'!I8</f>
        <v>1589915.25</v>
      </c>
      <c r="L4" s="407">
        <f>F4/E4-1</f>
        <v>0.2649999999999999</v>
      </c>
      <c r="M4" s="407">
        <f t="shared" ref="M4:P4" si="0">G4/F4-1</f>
        <v>0.44000000000000017</v>
      </c>
      <c r="N4" s="407">
        <f t="shared" si="0"/>
        <v>0.16666666666666674</v>
      </c>
      <c r="O4" s="407">
        <f t="shared" si="0"/>
        <v>-2.5000000000001688E-3</v>
      </c>
      <c r="P4" s="407">
        <f t="shared" si="0"/>
        <v>0</v>
      </c>
    </row>
    <row r="5" spans="2:16" s="99" customFormat="1" ht="12.75" customHeight="1">
      <c r="C5" s="99" t="s">
        <v>120</v>
      </c>
      <c r="E5" s="208">
        <f>E4*(1-'Cap 10 Vegas 1'!D9)</f>
        <v>656250</v>
      </c>
      <c r="F5" s="208">
        <f>F4*(1-'Cap 10 Vegas 1'!E9)</f>
        <v>830156.25</v>
      </c>
      <c r="G5" s="208">
        <f>G4*(1-'Cap 10 Vegas 1'!F9)</f>
        <v>1195425.0000000002</v>
      </c>
      <c r="H5" s="208">
        <f>H4*(1-'Cap 10 Vegas 1'!G9)</f>
        <v>1394662.5000000002</v>
      </c>
      <c r="I5" s="208">
        <f>I4*(1-'Cap 10 Vegas 1'!H9)</f>
        <v>1391175.84375</v>
      </c>
      <c r="J5" s="208">
        <f>J4*(1-'Cap 10 Vegas 1'!I9)</f>
        <v>1391175.84375</v>
      </c>
      <c r="L5" s="378"/>
    </row>
    <row r="6" spans="2:16" s="98" customFormat="1" ht="12.75" customHeight="1">
      <c r="D6" s="98" t="s">
        <v>205</v>
      </c>
      <c r="E6" s="206">
        <f>'Cap 10 Vegas 1'!D11*'Cap 10 Vegas 1'!D3*'Cap 10 Vegas 1'!D5</f>
        <v>500000</v>
      </c>
      <c r="F6" s="206">
        <f>'Cap 10 Vegas 1'!E11*'Cap 10 Vegas 1'!E3*'Cap 10 Vegas 1'!E5</f>
        <v>718750</v>
      </c>
      <c r="G6" s="206">
        <f>'Cap 10 Vegas 1'!F11*'Cap 10 Vegas 1'!F3*'Cap 10 Vegas 1'!F5</f>
        <v>948750.00000000012</v>
      </c>
      <c r="H6" s="206">
        <f>'Cap 10 Vegas 1'!G11*'Cap 10 Vegas 1'!G3*'Cap 10 Vegas 1'!G5</f>
        <v>996187.50000000012</v>
      </c>
      <c r="I6" s="206">
        <f>'Cap 10 Vegas 1'!H11*'Cap 10 Vegas 1'!H3*'Cap 10 Vegas 1'!H5</f>
        <v>1045996.8750000001</v>
      </c>
      <c r="J6" s="206">
        <f>'Cap 10 Vegas 1'!I11*'Cap 10 Vegas 1'!I3*'Cap 10 Vegas 1'!I5</f>
        <v>1045996.8750000001</v>
      </c>
      <c r="L6" s="383"/>
    </row>
    <row r="7" spans="2:16" s="98" customFormat="1" ht="12.75" customHeight="1">
      <c r="C7" s="99" t="s">
        <v>15</v>
      </c>
      <c r="D7" s="99"/>
      <c r="E7" s="208">
        <f t="shared" ref="E7:J7" si="1">E5-E6</f>
        <v>156250</v>
      </c>
      <c r="F7" s="208">
        <f t="shared" si="1"/>
        <v>111406.25</v>
      </c>
      <c r="G7" s="208">
        <f t="shared" si="1"/>
        <v>246675.00000000012</v>
      </c>
      <c r="H7" s="208">
        <f t="shared" si="1"/>
        <v>398475.00000000012</v>
      </c>
      <c r="I7" s="208">
        <f t="shared" si="1"/>
        <v>345178.96874999988</v>
      </c>
      <c r="J7" s="208">
        <f t="shared" si="1"/>
        <v>345178.96874999988</v>
      </c>
      <c r="L7" s="383"/>
    </row>
    <row r="8" spans="2:16" s="418" customFormat="1" ht="12.75" customHeight="1">
      <c r="C8" s="419" t="s">
        <v>206</v>
      </c>
      <c r="D8" s="419"/>
      <c r="E8" s="370">
        <f t="shared" ref="E8:J8" si="2">E7/E5</f>
        <v>0.23809523809523808</v>
      </c>
      <c r="F8" s="370">
        <f t="shared" si="2"/>
        <v>0.13419913419913421</v>
      </c>
      <c r="G8" s="370">
        <f t="shared" si="2"/>
        <v>0.20634920634920639</v>
      </c>
      <c r="H8" s="370">
        <f t="shared" si="2"/>
        <v>0.28571428571428575</v>
      </c>
      <c r="I8" s="370">
        <f t="shared" si="2"/>
        <v>0.2481203007518796</v>
      </c>
      <c r="J8" s="370">
        <f t="shared" si="2"/>
        <v>0.2481203007518796</v>
      </c>
      <c r="L8" s="420"/>
    </row>
    <row r="9" spans="2:16" s="98" customFormat="1" ht="12.75" customHeight="1">
      <c r="D9" s="98" t="s">
        <v>207</v>
      </c>
      <c r="E9" s="206">
        <f>-'Cap 10 Vegas 3'!D4</f>
        <v>-20000</v>
      </c>
      <c r="F9" s="206">
        <f>-'Cap 10 Vegas 3'!E4</f>
        <v>-35000</v>
      </c>
      <c r="G9" s="206">
        <f>-'Cap 10 Vegas 3'!F4</f>
        <v>-43000</v>
      </c>
      <c r="H9" s="206">
        <f>-'Cap 10 Vegas 3'!G4</f>
        <v>-47000</v>
      </c>
      <c r="I9" s="206">
        <f>-'Cap 10 Vegas 3'!H4</f>
        <v>-51500</v>
      </c>
      <c r="J9" s="206">
        <f>-'Cap 10 Vegas 3'!I4</f>
        <v>-56500</v>
      </c>
      <c r="L9" s="383"/>
    </row>
    <row r="10" spans="2:16" s="98" customFormat="1" ht="12.75" customHeight="1">
      <c r="D10" s="98" t="s">
        <v>208</v>
      </c>
      <c r="E10" s="206">
        <f>-E5*'Cap 10 Vegas 1'!D13</f>
        <v>-32812.5</v>
      </c>
      <c r="F10" s="206">
        <f>-F5*'Cap 10 Vegas 1'!E13</f>
        <v>-41507.8125</v>
      </c>
      <c r="G10" s="206">
        <f>-G5*'Cap 10 Vegas 1'!F13</f>
        <v>-59771.250000000015</v>
      </c>
      <c r="H10" s="206">
        <f>-H5*'Cap 10 Vegas 1'!G13</f>
        <v>-69733.125000000015</v>
      </c>
      <c r="I10" s="206">
        <f>-I5*'Cap 10 Vegas 1'!H13</f>
        <v>-69558.792187500003</v>
      </c>
      <c r="J10" s="206">
        <f>-J5*'Cap 10 Vegas 1'!I13</f>
        <v>-69558.792187500003</v>
      </c>
      <c r="L10" s="383"/>
    </row>
    <row r="11" spans="2:16" s="98" customFormat="1" ht="12.75" customHeight="1">
      <c r="D11" s="98" t="s">
        <v>209</v>
      </c>
      <c r="E11" s="206">
        <v>-80000</v>
      </c>
      <c r="F11" s="206">
        <f>E11*(1+'Cap 10 Vegas 1'!E14)</f>
        <v>-100000</v>
      </c>
      <c r="G11" s="206">
        <f>F11*(1+'Cap 10 Vegas 1'!F14)</f>
        <v>-130000</v>
      </c>
      <c r="H11" s="206">
        <f>G11*(1+'Cap 10 Vegas 1'!G14)</f>
        <v>-136500</v>
      </c>
      <c r="I11" s="206">
        <f>H11*(1+'Cap 10 Vegas 1'!H14)</f>
        <v>-143325</v>
      </c>
      <c r="J11" s="206">
        <f>I11*(1+'Cap 10 Vegas 1'!I14)</f>
        <v>-143325</v>
      </c>
      <c r="L11" s="383"/>
    </row>
    <row r="12" spans="2:16" s="99" customFormat="1" ht="12.75" customHeight="1">
      <c r="C12" s="99" t="s">
        <v>210</v>
      </c>
      <c r="E12" s="208">
        <f t="shared" ref="E12:J12" si="3">E7+E9+E10+E11</f>
        <v>23437.5</v>
      </c>
      <c r="F12" s="208">
        <f t="shared" si="3"/>
        <v>-65101.5625</v>
      </c>
      <c r="G12" s="208">
        <f t="shared" si="3"/>
        <v>13903.750000000116</v>
      </c>
      <c r="H12" s="208">
        <f t="shared" si="3"/>
        <v>145241.87500000012</v>
      </c>
      <c r="I12" s="208">
        <f t="shared" si="3"/>
        <v>80795.176562499895</v>
      </c>
      <c r="J12" s="208">
        <f t="shared" si="3"/>
        <v>75795.176562499895</v>
      </c>
      <c r="L12" s="378">
        <f>200/18</f>
        <v>11.111111111111111</v>
      </c>
    </row>
    <row r="13" spans="2:16" s="99" customFormat="1" ht="12.75" customHeight="1">
      <c r="C13" s="99" t="s">
        <v>211</v>
      </c>
      <c r="E13" s="208">
        <f t="shared" ref="E13:J13" si="4">E12-E9</f>
        <v>43437.5</v>
      </c>
      <c r="F13" s="208">
        <f t="shared" si="4"/>
        <v>-30101.5625</v>
      </c>
      <c r="G13" s="208">
        <f t="shared" si="4"/>
        <v>56903.750000000116</v>
      </c>
      <c r="H13" s="208">
        <f t="shared" si="4"/>
        <v>192241.87500000012</v>
      </c>
      <c r="I13" s="208">
        <f t="shared" si="4"/>
        <v>132295.1765624999</v>
      </c>
      <c r="J13" s="208">
        <f t="shared" si="4"/>
        <v>132295.1765624999</v>
      </c>
      <c r="L13" s="378">
        <f>'Cap 10 Vegas 5'!D11/E13</f>
        <v>7.0671130174205876</v>
      </c>
    </row>
    <row r="14" spans="2:16" s="418" customFormat="1" ht="12.75" customHeight="1">
      <c r="C14" s="419" t="s">
        <v>212</v>
      </c>
      <c r="D14" s="419"/>
      <c r="E14" s="370">
        <f t="shared" ref="E14:J14" si="5">E13/E5</f>
        <v>6.6190476190476188E-2</v>
      </c>
      <c r="F14" s="370">
        <f t="shared" si="5"/>
        <v>-3.6260116694899307E-2</v>
      </c>
      <c r="G14" s="370">
        <f t="shared" si="5"/>
        <v>4.7601271514315084E-2</v>
      </c>
      <c r="H14" s="370">
        <f t="shared" si="5"/>
        <v>0.13784114436288356</v>
      </c>
      <c r="I14" s="370">
        <f t="shared" si="5"/>
        <v>9.5095941434614126E-2</v>
      </c>
      <c r="J14" s="370">
        <f t="shared" si="5"/>
        <v>9.5095941434614126E-2</v>
      </c>
      <c r="L14" s="420"/>
    </row>
    <row r="15" spans="2:16" s="98" customFormat="1" ht="12.75" customHeight="1">
      <c r="D15" s="98" t="s">
        <v>213</v>
      </c>
      <c r="E15" s="206">
        <f t="shared" ref="E15:J15" si="6">-E12*34%</f>
        <v>-7968.7500000000009</v>
      </c>
      <c r="F15" s="206">
        <f t="shared" si="6"/>
        <v>22134.53125</v>
      </c>
      <c r="G15" s="206">
        <f t="shared" si="6"/>
        <v>-4727.2750000000397</v>
      </c>
      <c r="H15" s="206">
        <f t="shared" si="6"/>
        <v>-49382.237500000047</v>
      </c>
      <c r="I15" s="206">
        <f t="shared" si="6"/>
        <v>-27470.360031249966</v>
      </c>
      <c r="J15" s="206">
        <f t="shared" si="6"/>
        <v>-25770.360031249966</v>
      </c>
      <c r="L15" s="383"/>
    </row>
    <row r="16" spans="2:16" s="99" customFormat="1" ht="12.75" customHeight="1">
      <c r="C16" s="99" t="s">
        <v>214</v>
      </c>
      <c r="E16" s="208">
        <f t="shared" ref="E16:J16" si="7">+E12+E15</f>
        <v>15468.75</v>
      </c>
      <c r="F16" s="208">
        <f t="shared" si="7"/>
        <v>-42967.03125</v>
      </c>
      <c r="G16" s="208">
        <f t="shared" si="7"/>
        <v>9176.4750000000768</v>
      </c>
      <c r="H16" s="208">
        <f t="shared" si="7"/>
        <v>95859.63750000007</v>
      </c>
      <c r="I16" s="208">
        <f t="shared" si="7"/>
        <v>53324.816531249933</v>
      </c>
      <c r="J16" s="208">
        <f t="shared" si="7"/>
        <v>50024.816531249933</v>
      </c>
      <c r="K16" s="98"/>
      <c r="L16" s="383"/>
      <c r="M16" s="98"/>
    </row>
    <row r="17" spans="2:13" s="99" customFormat="1" ht="12.75" customHeight="1">
      <c r="E17" s="417"/>
      <c r="F17" s="417"/>
      <c r="G17" s="417"/>
      <c r="H17" s="417"/>
      <c r="I17" s="417"/>
      <c r="J17" s="417"/>
      <c r="K17" s="98"/>
      <c r="L17" s="383"/>
      <c r="M17" s="98"/>
    </row>
    <row r="18" spans="2:13" s="99" customFormat="1" ht="12.75" customHeight="1">
      <c r="D18" s="98" t="s">
        <v>50</v>
      </c>
      <c r="E18" s="206">
        <f>-'Cap 10 Vegas 4'!C36</f>
        <v>-11512.000000000007</v>
      </c>
      <c r="F18" s="206">
        <f>-'Cap 10 Vegas 4'!D36</f>
        <v>-19309.436884648494</v>
      </c>
      <c r="G18" s="206">
        <f>-'Cap 10 Vegas 4'!E36</f>
        <v>-24020.872689102722</v>
      </c>
      <c r="H18" s="206">
        <f>-'Cap 10 Vegas 4'!F36</f>
        <v>-25041.417340638898</v>
      </c>
      <c r="I18" s="206">
        <f>-'Cap 10 Vegas 4'!G36</f>
        <v>-24646.083644731305</v>
      </c>
      <c r="J18" s="206">
        <f>-'Cap 10 Vegas 4'!H36</f>
        <v>-24275.591826039403</v>
      </c>
      <c r="K18" s="98"/>
      <c r="L18" s="383"/>
      <c r="M18" s="98"/>
    </row>
    <row r="19" spans="2:13" s="99" customFormat="1" ht="12.75" customHeight="1">
      <c r="C19" s="99" t="s">
        <v>25</v>
      </c>
      <c r="E19" s="208">
        <f t="shared" ref="E19:J19" si="8">E12+E18</f>
        <v>11925.499999999993</v>
      </c>
      <c r="F19" s="208">
        <f t="shared" si="8"/>
        <v>-84410.999384648487</v>
      </c>
      <c r="G19" s="208">
        <f t="shared" si="8"/>
        <v>-10117.122689102605</v>
      </c>
      <c r="H19" s="208">
        <f t="shared" si="8"/>
        <v>120200.45765936121</v>
      </c>
      <c r="I19" s="208">
        <f t="shared" si="8"/>
        <v>56149.09291776859</v>
      </c>
      <c r="J19" s="208">
        <f t="shared" si="8"/>
        <v>51519.584736460492</v>
      </c>
      <c r="K19" s="98"/>
      <c r="L19" s="383"/>
      <c r="M19" s="98"/>
    </row>
    <row r="20" spans="2:13" s="99" customFormat="1" ht="12.75" customHeight="1">
      <c r="B20" s="98"/>
      <c r="C20" s="98"/>
      <c r="D20" s="98" t="s">
        <v>215</v>
      </c>
      <c r="E20" s="206">
        <f t="shared" ref="E20:J20" si="9">E19*-34%</f>
        <v>-4054.6699999999978</v>
      </c>
      <c r="F20" s="206">
        <f t="shared" si="9"/>
        <v>28699.739790780488</v>
      </c>
      <c r="G20" s="206">
        <f t="shared" si="9"/>
        <v>3439.8217142948861</v>
      </c>
      <c r="H20" s="206">
        <f t="shared" si="9"/>
        <v>-40868.155604182815</v>
      </c>
      <c r="I20" s="206">
        <f t="shared" si="9"/>
        <v>-19090.691592041323</v>
      </c>
      <c r="J20" s="206">
        <f t="shared" si="9"/>
        <v>-17516.65881039657</v>
      </c>
      <c r="K20" s="98"/>
      <c r="L20" s="383"/>
      <c r="M20" s="98"/>
    </row>
    <row r="21" spans="2:13" s="99" customFormat="1" ht="12.75" customHeight="1">
      <c r="C21" s="99" t="s">
        <v>216</v>
      </c>
      <c r="E21" s="208">
        <f t="shared" ref="E21:J21" si="10">E19+E20</f>
        <v>7870.8299999999945</v>
      </c>
      <c r="F21" s="208">
        <f t="shared" si="10"/>
        <v>-55711.259593868002</v>
      </c>
      <c r="G21" s="208">
        <f t="shared" si="10"/>
        <v>-6677.3009748077193</v>
      </c>
      <c r="H21" s="208">
        <f t="shared" si="10"/>
        <v>79332.302055178399</v>
      </c>
      <c r="I21" s="208">
        <f t="shared" si="10"/>
        <v>37058.401325727267</v>
      </c>
      <c r="J21" s="208">
        <f t="shared" si="10"/>
        <v>34002.925926063923</v>
      </c>
      <c r="K21" s="98"/>
      <c r="L21" s="383"/>
      <c r="M21" s="98"/>
    </row>
  </sheetData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A364C-9FB1-46F5-B1B5-83096A78BDEB}">
  <sheetPr codeName="Sheet140"/>
  <dimension ref="B2:L23"/>
  <sheetViews>
    <sheetView showGridLines="0" zoomScale="66" zoomScaleNormal="66" workbookViewId="0">
      <selection activeCell="G34" sqref="G34"/>
    </sheetView>
  </sheetViews>
  <sheetFormatPr defaultColWidth="8.625" defaultRowHeight="12.75" customHeight="1"/>
  <cols>
    <col min="1" max="1" width="8.625" style="202"/>
    <col min="2" max="2" width="2.625" style="202" customWidth="1"/>
    <col min="3" max="3" width="35.375" style="202" bestFit="1" customWidth="1"/>
    <col min="4" max="4" width="9.125" style="33" bestFit="1" customWidth="1"/>
    <col min="5" max="9" width="9.625" style="33" bestFit="1" customWidth="1"/>
    <col min="10" max="16384" width="8.625" style="202"/>
  </cols>
  <sheetData>
    <row r="2" spans="2:12" s="99" customFormat="1" ht="12.75" customHeight="1">
      <c r="B2" s="398" t="s">
        <v>49</v>
      </c>
      <c r="C2" s="398"/>
      <c r="D2" s="32">
        <v>2019</v>
      </c>
      <c r="E2" s="32" t="s">
        <v>266</v>
      </c>
      <c r="F2" s="32" t="s">
        <v>267</v>
      </c>
      <c r="G2" s="32" t="s">
        <v>268</v>
      </c>
      <c r="H2" s="32" t="s">
        <v>269</v>
      </c>
      <c r="I2" s="32" t="s">
        <v>270</v>
      </c>
      <c r="J2" s="398"/>
      <c r="K2" s="398"/>
    </row>
    <row r="3" spans="2:12" s="98" customFormat="1" ht="12.75" customHeight="1">
      <c r="C3" s="105" t="s">
        <v>214</v>
      </c>
      <c r="D3" s="208">
        <f>+'Cap 10 Vegas 2'!E16</f>
        <v>15468.75</v>
      </c>
      <c r="E3" s="208">
        <f>+'Cap 10 Vegas 2'!F16</f>
        <v>-42967.03125</v>
      </c>
      <c r="F3" s="208">
        <f>+'Cap 10 Vegas 2'!G16</f>
        <v>9176.4750000000768</v>
      </c>
      <c r="G3" s="208">
        <f>+'Cap 10 Vegas 2'!H16</f>
        <v>95859.63750000007</v>
      </c>
      <c r="H3" s="208">
        <f>+'Cap 10 Vegas 2'!I16</f>
        <v>53324.816531249933</v>
      </c>
      <c r="I3" s="208">
        <f>+'Cap 10 Vegas 2'!J16</f>
        <v>50024.816531249933</v>
      </c>
      <c r="K3" s="383"/>
    </row>
    <row r="4" spans="2:12" s="98" customFormat="1" ht="12.75" customHeight="1">
      <c r="C4" s="104" t="s">
        <v>217</v>
      </c>
      <c r="D4" s="206">
        <f>'Cap 10 Vegas 1'!D18*D11</f>
        <v>20000</v>
      </c>
      <c r="E4" s="206">
        <f>'Cap 10 Vegas 1'!E18*E11</f>
        <v>35000</v>
      </c>
      <c r="F4" s="206">
        <f>'Cap 10 Vegas 1'!F18*F11</f>
        <v>43000</v>
      </c>
      <c r="G4" s="206">
        <f>'Cap 10 Vegas 1'!G18*G11</f>
        <v>47000</v>
      </c>
      <c r="H4" s="206">
        <f>'Cap 10 Vegas 1'!H18*H11</f>
        <v>51500</v>
      </c>
      <c r="I4" s="206">
        <f>'Cap 10 Vegas 1'!I18*I11</f>
        <v>56500</v>
      </c>
      <c r="K4" s="383"/>
    </row>
    <row r="5" spans="2:12" s="98" customFormat="1" ht="12.75" customHeight="1">
      <c r="C5" s="406" t="s">
        <v>218</v>
      </c>
      <c r="D5" s="206">
        <v>-8000</v>
      </c>
      <c r="E5" s="206">
        <f t="shared" ref="E5:I6" si="0">-(E10-D10)</f>
        <v>-21738.28125</v>
      </c>
      <c r="F5" s="206">
        <f t="shared" si="0"/>
        <v>-45658.593750000029</v>
      </c>
      <c r="G5" s="206">
        <f t="shared" si="0"/>
        <v>-24904.6875</v>
      </c>
      <c r="H5" s="206">
        <f t="shared" si="0"/>
        <v>435.8320312500291</v>
      </c>
      <c r="I5" s="206">
        <f t="shared" si="0"/>
        <v>0</v>
      </c>
      <c r="K5" s="383"/>
    </row>
    <row r="6" spans="2:12" s="98" customFormat="1" ht="12.75" customHeight="1">
      <c r="C6" s="104" t="s">
        <v>219</v>
      </c>
      <c r="D6" s="206">
        <v>-15000</v>
      </c>
      <c r="E6" s="206">
        <f t="shared" si="0"/>
        <v>-150000</v>
      </c>
      <c r="F6" s="206">
        <f t="shared" si="0"/>
        <v>-80000</v>
      </c>
      <c r="G6" s="206">
        <f t="shared" si="0"/>
        <v>-40000</v>
      </c>
      <c r="H6" s="206">
        <f t="shared" si="0"/>
        <v>-45000</v>
      </c>
      <c r="I6" s="206">
        <f t="shared" si="0"/>
        <v>-50000</v>
      </c>
      <c r="K6" s="383"/>
    </row>
    <row r="7" spans="2:12" s="99" customFormat="1" ht="12.75" customHeight="1">
      <c r="C7" s="105" t="s">
        <v>220</v>
      </c>
      <c r="D7" s="208">
        <f t="shared" ref="D7:I7" si="1">+D3+D4+D5+D6</f>
        <v>12468.75</v>
      </c>
      <c r="E7" s="208">
        <f t="shared" si="1"/>
        <v>-179705.3125</v>
      </c>
      <c r="F7" s="208">
        <f t="shared" si="1"/>
        <v>-73482.118749999951</v>
      </c>
      <c r="G7" s="208">
        <f t="shared" si="1"/>
        <v>77954.95000000007</v>
      </c>
      <c r="H7" s="208">
        <f t="shared" si="1"/>
        <v>60260.648562499962</v>
      </c>
      <c r="I7" s="208">
        <f t="shared" si="1"/>
        <v>56524.816531249933</v>
      </c>
      <c r="J7" s="98"/>
      <c r="K7" s="383"/>
      <c r="L7" s="98"/>
    </row>
    <row r="8" spans="2:12" s="98" customFormat="1" ht="12.75" customHeight="1">
      <c r="D8" s="36"/>
      <c r="E8" s="36"/>
      <c r="F8" s="36"/>
      <c r="G8" s="36"/>
      <c r="H8" s="36"/>
      <c r="I8" s="36"/>
      <c r="K8" s="383"/>
    </row>
    <row r="9" spans="2:12" s="99" customFormat="1" ht="12.75" customHeight="1">
      <c r="B9" s="398" t="s">
        <v>221</v>
      </c>
      <c r="C9" s="398"/>
      <c r="D9" s="427">
        <f>+D2</f>
        <v>2019</v>
      </c>
      <c r="E9" s="427">
        <f>+D9+1</f>
        <v>2020</v>
      </c>
      <c r="F9" s="427">
        <f>+E9+1</f>
        <v>2021</v>
      </c>
      <c r="G9" s="427">
        <f>+F9+1</f>
        <v>2022</v>
      </c>
      <c r="H9" s="427">
        <f>+G9+1</f>
        <v>2023</v>
      </c>
      <c r="I9" s="427">
        <f>+H9+1</f>
        <v>2024</v>
      </c>
      <c r="K9" s="378"/>
    </row>
    <row r="10" spans="2:12" s="99" customFormat="1" ht="12.75" customHeight="1">
      <c r="C10" s="428" t="s">
        <v>28</v>
      </c>
      <c r="D10" s="208">
        <f>'Cap 10 Vegas 2'!E5*'Cap 10 Vegas 1'!D19</f>
        <v>82031.25</v>
      </c>
      <c r="E10" s="208">
        <f>'Cap 10 Vegas 2'!F5*'Cap 10 Vegas 1'!E19</f>
        <v>103769.53125</v>
      </c>
      <c r="F10" s="208">
        <f>'Cap 10 Vegas 2'!G5*'Cap 10 Vegas 1'!F19</f>
        <v>149428.12500000003</v>
      </c>
      <c r="G10" s="208">
        <f>'Cap 10 Vegas 2'!H5*'Cap 10 Vegas 1'!G19</f>
        <v>174332.81250000003</v>
      </c>
      <c r="H10" s="208">
        <f>'Cap 10 Vegas 2'!I5*'Cap 10 Vegas 1'!H19</f>
        <v>173896.98046875</v>
      </c>
      <c r="I10" s="208">
        <f>'Cap 10 Vegas 2'!J5*'Cap 10 Vegas 1'!I19</f>
        <v>173896.98046875</v>
      </c>
      <c r="K10" s="378"/>
    </row>
    <row r="11" spans="2:12" s="98" customFormat="1" ht="12.75" customHeight="1">
      <c r="C11" s="104" t="s">
        <v>222</v>
      </c>
      <c r="D11" s="206">
        <v>200000</v>
      </c>
      <c r="E11" s="206">
        <f>D11+'Cap 10 Vegas 1'!E20</f>
        <v>350000</v>
      </c>
      <c r="F11" s="206">
        <f>E11+'Cap 10 Vegas 1'!F20</f>
        <v>430000</v>
      </c>
      <c r="G11" s="206">
        <f>F11+'Cap 10 Vegas 1'!G20</f>
        <v>470000</v>
      </c>
      <c r="H11" s="206">
        <f>G11+'Cap 10 Vegas 1'!H20</f>
        <v>515000</v>
      </c>
      <c r="I11" s="206">
        <f>H11+'Cap 10 Vegas 1'!I20</f>
        <v>565000</v>
      </c>
      <c r="K11" s="383">
        <f>225*2</f>
        <v>450</v>
      </c>
    </row>
    <row r="12" spans="2:12" s="98" customFormat="1" ht="12.75" customHeight="1">
      <c r="C12" s="104" t="s">
        <v>223</v>
      </c>
      <c r="D12" s="206">
        <v>-80000</v>
      </c>
      <c r="E12" s="206">
        <f>D12+'Cap 10 Vegas 2'!F9</f>
        <v>-115000</v>
      </c>
      <c r="F12" s="206">
        <f>E12+'Cap 10 Vegas 2'!G9</f>
        <v>-158000</v>
      </c>
      <c r="G12" s="206">
        <f>F12+'Cap 10 Vegas 2'!H9</f>
        <v>-205000</v>
      </c>
      <c r="H12" s="206">
        <f>G12+'Cap 10 Vegas 2'!I9</f>
        <v>-256500</v>
      </c>
      <c r="I12" s="206">
        <f>H12+'Cap 10 Vegas 2'!J9</f>
        <v>-313000</v>
      </c>
      <c r="K12" s="383"/>
    </row>
    <row r="13" spans="2:12" s="99" customFormat="1" ht="12.75" customHeight="1">
      <c r="C13" s="105" t="s">
        <v>224</v>
      </c>
      <c r="D13" s="208">
        <f t="shared" ref="D13:I13" si="2">+D11+D12</f>
        <v>120000</v>
      </c>
      <c r="E13" s="208">
        <f t="shared" si="2"/>
        <v>235000</v>
      </c>
      <c r="F13" s="208">
        <f t="shared" si="2"/>
        <v>272000</v>
      </c>
      <c r="G13" s="208">
        <f t="shared" si="2"/>
        <v>265000</v>
      </c>
      <c r="H13" s="208">
        <f t="shared" si="2"/>
        <v>258500</v>
      </c>
      <c r="I13" s="208">
        <f t="shared" si="2"/>
        <v>252000</v>
      </c>
      <c r="K13" s="378"/>
    </row>
    <row r="14" spans="2:12" s="99" customFormat="1" ht="12.75" customHeight="1">
      <c r="C14" s="105" t="s">
        <v>225</v>
      </c>
      <c r="D14" s="208">
        <f t="shared" ref="D14:I14" si="3">+D10+D13</f>
        <v>202031.25</v>
      </c>
      <c r="E14" s="208">
        <f t="shared" si="3"/>
        <v>338769.53125</v>
      </c>
      <c r="F14" s="208">
        <f t="shared" si="3"/>
        <v>421428.125</v>
      </c>
      <c r="G14" s="208">
        <f t="shared" si="3"/>
        <v>439332.8125</v>
      </c>
      <c r="H14" s="208">
        <f t="shared" si="3"/>
        <v>432396.98046875</v>
      </c>
      <c r="I14" s="208">
        <f t="shared" si="3"/>
        <v>425896.98046875</v>
      </c>
      <c r="K14" s="378"/>
    </row>
    <row r="15" spans="2:12" s="99" customFormat="1" ht="12.75" customHeight="1">
      <c r="D15" s="417"/>
      <c r="E15" s="417"/>
      <c r="F15" s="417"/>
      <c r="G15" s="417"/>
      <c r="H15" s="417"/>
      <c r="I15" s="417"/>
      <c r="K15" s="378"/>
    </row>
    <row r="16" spans="2:12" s="99" customFormat="1" ht="12.75" customHeight="1">
      <c r="B16" s="398" t="s">
        <v>226</v>
      </c>
      <c r="C16" s="398"/>
      <c r="D16" s="427">
        <f>+D9</f>
        <v>2019</v>
      </c>
      <c r="E16" s="427">
        <f>+D16+1</f>
        <v>2020</v>
      </c>
      <c r="F16" s="427">
        <f>+E16+1</f>
        <v>2021</v>
      </c>
      <c r="G16" s="427">
        <f>+F16+1</f>
        <v>2022</v>
      </c>
      <c r="H16" s="427">
        <f>+G16+1</f>
        <v>2023</v>
      </c>
      <c r="I16" s="427">
        <f>+H16+1</f>
        <v>2024</v>
      </c>
      <c r="K16" s="378"/>
    </row>
    <row r="17" spans="3:11" s="99" customFormat="1" ht="12.75" customHeight="1">
      <c r="C17" s="428" t="s">
        <v>227</v>
      </c>
      <c r="D17" s="208">
        <f>D21-D19</f>
        <v>102031.25</v>
      </c>
      <c r="E17" s="208">
        <f>E21*E18</f>
        <v>171087.7833768368</v>
      </c>
      <c r="F17" s="208">
        <f>F21*F18</f>
        <v>212832.6106921887</v>
      </c>
      <c r="G17" s="208">
        <f>G21*G18</f>
        <v>221874.96253866973</v>
      </c>
      <c r="H17" s="208">
        <f>H21*H18</f>
        <v>218372.17961801525</v>
      </c>
      <c r="I17" s="208">
        <f>I21*I18</f>
        <v>215089.50367060612</v>
      </c>
      <c r="K17" s="378"/>
    </row>
    <row r="18" spans="3:11" s="98" customFormat="1" ht="12.75" customHeight="1">
      <c r="C18" s="104" t="s">
        <v>228</v>
      </c>
      <c r="D18" s="57">
        <f>D17/D21</f>
        <v>0.50502706883217319</v>
      </c>
      <c r="E18" s="57">
        <f>D18</f>
        <v>0.50502706883217319</v>
      </c>
      <c r="F18" s="57">
        <f>E18</f>
        <v>0.50502706883217319</v>
      </c>
      <c r="G18" s="57">
        <f>F18</f>
        <v>0.50502706883217319</v>
      </c>
      <c r="H18" s="57">
        <f>G18</f>
        <v>0.50502706883217319</v>
      </c>
      <c r="I18" s="57">
        <f>H18</f>
        <v>0.50502706883217319</v>
      </c>
      <c r="K18" s="383"/>
    </row>
    <row r="19" spans="3:11" s="99" customFormat="1" ht="12.75" customHeight="1">
      <c r="C19" s="105" t="s">
        <v>30</v>
      </c>
      <c r="D19" s="208">
        <v>100000</v>
      </c>
      <c r="E19" s="208">
        <f>E20*E21</f>
        <v>167681.7478731632</v>
      </c>
      <c r="F19" s="208">
        <f>F20*F21</f>
        <v>208595.5143078113</v>
      </c>
      <c r="G19" s="208">
        <f>G20*G21</f>
        <v>217457.84996133024</v>
      </c>
      <c r="H19" s="208">
        <f>H20*H21</f>
        <v>214024.80085073473</v>
      </c>
      <c r="I19" s="208">
        <f>I20*I21</f>
        <v>210807.47679814385</v>
      </c>
      <c r="K19" s="378"/>
    </row>
    <row r="20" spans="3:11" s="99" customFormat="1" ht="12.75" customHeight="1">
      <c r="C20" s="104" t="s">
        <v>229</v>
      </c>
      <c r="D20" s="57">
        <f>D19/D21</f>
        <v>0.49497293116782676</v>
      </c>
      <c r="E20" s="57">
        <f>D20</f>
        <v>0.49497293116782676</v>
      </c>
      <c r="F20" s="57">
        <f>E20</f>
        <v>0.49497293116782676</v>
      </c>
      <c r="G20" s="57">
        <f>F20</f>
        <v>0.49497293116782676</v>
      </c>
      <c r="H20" s="57">
        <f>G20</f>
        <v>0.49497293116782676</v>
      </c>
      <c r="I20" s="57">
        <f>H20</f>
        <v>0.49497293116782676</v>
      </c>
      <c r="K20" s="378"/>
    </row>
    <row r="21" spans="3:11" s="99" customFormat="1" ht="12.75" customHeight="1">
      <c r="C21" s="105" t="s">
        <v>230</v>
      </c>
      <c r="D21" s="208">
        <f t="shared" ref="D21:I21" si="4">D14</f>
        <v>202031.25</v>
      </c>
      <c r="E21" s="208">
        <f t="shared" si="4"/>
        <v>338769.53125</v>
      </c>
      <c r="F21" s="208">
        <f t="shared" si="4"/>
        <v>421428.125</v>
      </c>
      <c r="G21" s="208">
        <f t="shared" si="4"/>
        <v>439332.8125</v>
      </c>
      <c r="H21" s="208">
        <f t="shared" si="4"/>
        <v>432396.98046875</v>
      </c>
      <c r="I21" s="208">
        <f t="shared" si="4"/>
        <v>425896.98046875</v>
      </c>
      <c r="K21" s="378"/>
    </row>
    <row r="22" spans="3:11" s="99" customFormat="1" ht="12.75" customHeight="1">
      <c r="D22" s="413"/>
      <c r="E22" s="413"/>
      <c r="F22" s="413"/>
      <c r="G22" s="413"/>
      <c r="H22" s="413"/>
      <c r="I22" s="413"/>
      <c r="K22" s="378"/>
    </row>
    <row r="23" spans="3:11" ht="12.75" customHeight="1">
      <c r="C23" s="99"/>
      <c r="D23" s="35"/>
      <c r="E23" s="35"/>
      <c r="F23" s="35"/>
      <c r="G23" s="35"/>
      <c r="H23" s="35"/>
      <c r="I23" s="35"/>
    </row>
  </sheetData>
  <pageMargins left="0.511811024" right="0.511811024" top="0.78740157499999996" bottom="0.78740157499999996" header="0.31496062000000002" footer="0.31496062000000002"/>
  <ignoredErrors>
    <ignoredError sqref="E19:I19" formula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4B2C3-F56E-4680-B4AA-146A10186BE4}">
  <sheetPr codeName="Sheet141">
    <pageSetUpPr fitToPage="1"/>
  </sheetPr>
  <dimension ref="B2:X36"/>
  <sheetViews>
    <sheetView showGridLines="0" zoomScale="73" zoomScaleNormal="73" zoomScalePageLayoutView="150" workbookViewId="0">
      <selection activeCell="K2" sqref="K2"/>
    </sheetView>
  </sheetViews>
  <sheetFormatPr defaultColWidth="7.75" defaultRowHeight="12.75" customHeight="1"/>
  <cols>
    <col min="1" max="1" width="7.75" style="98" customWidth="1"/>
    <col min="2" max="2" width="25.25" style="98" customWidth="1"/>
    <col min="3" max="3" width="10.375" style="98" bestFit="1" customWidth="1"/>
    <col min="4" max="4" width="11.625" style="98" bestFit="1" customWidth="1"/>
    <col min="5" max="8" width="9.375" style="98" bestFit="1" customWidth="1"/>
    <col min="9" max="9" width="17" style="98" customWidth="1"/>
    <col min="10" max="10" width="9.375" style="98" customWidth="1"/>
    <col min="11" max="11" width="7.75" style="98"/>
    <col min="12" max="13" width="2.625" style="98" customWidth="1"/>
    <col min="14" max="14" width="24" style="98" bestFit="1" customWidth="1"/>
    <col min="15" max="19" width="8.875" style="38" customWidth="1"/>
    <col min="20" max="21" width="2.625" style="98" customWidth="1"/>
    <col min="22" max="23" width="7.75" style="98"/>
    <col min="24" max="24" width="7.75" style="38"/>
    <col min="25" max="16384" width="7.75" style="98"/>
  </cols>
  <sheetData>
    <row r="2" spans="2:24" ht="12.75" customHeight="1">
      <c r="B2" s="612" t="s">
        <v>153</v>
      </c>
      <c r="C2" s="613"/>
      <c r="D2" s="613"/>
      <c r="E2" s="613"/>
      <c r="F2" s="613"/>
      <c r="G2" s="614"/>
      <c r="I2" s="612" t="s">
        <v>71</v>
      </c>
      <c r="J2" s="614"/>
      <c r="L2" s="376"/>
      <c r="M2" s="376" t="s">
        <v>244</v>
      </c>
      <c r="U2" s="376" t="s">
        <v>251</v>
      </c>
    </row>
    <row r="3" spans="2:24" ht="12.75" customHeight="1">
      <c r="B3" s="429"/>
      <c r="G3" s="430"/>
      <c r="I3" s="429"/>
      <c r="J3" s="430"/>
    </row>
    <row r="4" spans="2:24" s="99" customFormat="1" ht="12.75" customHeight="1">
      <c r="B4" s="455" t="s">
        <v>60</v>
      </c>
      <c r="C4" s="395" t="s">
        <v>52</v>
      </c>
      <c r="D4" s="615" t="s">
        <v>154</v>
      </c>
      <c r="E4" s="615"/>
      <c r="F4" s="615"/>
      <c r="G4" s="448" t="s">
        <v>155</v>
      </c>
      <c r="I4" s="455" t="s">
        <v>156</v>
      </c>
      <c r="J4" s="456"/>
      <c r="M4" s="98"/>
      <c r="N4" s="431" t="s">
        <v>32</v>
      </c>
      <c r="O4" s="432" t="s">
        <v>52</v>
      </c>
      <c r="P4" s="432" t="s">
        <v>250</v>
      </c>
      <c r="Q4" s="432" t="s">
        <v>246</v>
      </c>
      <c r="R4" s="432" t="s">
        <v>247</v>
      </c>
      <c r="S4" s="432" t="s">
        <v>155</v>
      </c>
      <c r="T4" s="38"/>
      <c r="V4" s="431" t="s">
        <v>162</v>
      </c>
      <c r="W4" s="431"/>
      <c r="X4" s="432"/>
    </row>
    <row r="5" spans="2:24" ht="12.75" customHeight="1">
      <c r="B5" s="429"/>
      <c r="G5" s="430"/>
      <c r="I5" s="429"/>
      <c r="J5" s="430"/>
      <c r="N5" s="98" t="s">
        <v>157</v>
      </c>
      <c r="O5" s="38">
        <f>C6</f>
        <v>82</v>
      </c>
      <c r="P5" s="37">
        <f>D6</f>
        <v>0.08</v>
      </c>
      <c r="Q5" s="37">
        <f t="shared" ref="Q5:Q6" si="0">E6</f>
        <v>1.35</v>
      </c>
      <c r="R5" s="37">
        <f t="shared" ref="R5:R6" si="1">F6</f>
        <v>0.10800000000000001</v>
      </c>
      <c r="S5" s="426">
        <f>G6</f>
        <v>8.8560000000000016</v>
      </c>
      <c r="V5" s="98" t="s">
        <v>158</v>
      </c>
      <c r="X5" s="37">
        <f>J6</f>
        <v>0.03</v>
      </c>
    </row>
    <row r="6" spans="2:24" ht="12.75" customHeight="1">
      <c r="B6" s="429" t="s">
        <v>157</v>
      </c>
      <c r="C6" s="98">
        <v>82</v>
      </c>
      <c r="D6" s="433">
        <v>0.08</v>
      </c>
      <c r="E6" s="434">
        <v>1.35</v>
      </c>
      <c r="F6" s="457">
        <f>D6*E6</f>
        <v>0.10800000000000001</v>
      </c>
      <c r="G6" s="458">
        <f>F6*C6</f>
        <v>8.8560000000000016</v>
      </c>
      <c r="I6" s="429" t="s">
        <v>158</v>
      </c>
      <c r="J6" s="435">
        <v>0.03</v>
      </c>
      <c r="N6" s="98" t="s">
        <v>100</v>
      </c>
      <c r="O6" s="38">
        <f t="shared" ref="O6:O8" si="2">C7</f>
        <v>80</v>
      </c>
      <c r="P6" s="37">
        <f t="shared" ref="P6" si="3">D7</f>
        <v>0.04</v>
      </c>
      <c r="Q6" s="37">
        <f t="shared" si="0"/>
        <v>0.05</v>
      </c>
      <c r="R6" s="37">
        <f t="shared" si="1"/>
        <v>9.2000000000000082E-2</v>
      </c>
      <c r="S6" s="426">
        <f t="shared" ref="S6:S8" si="4">G7</f>
        <v>7.3600000000000065</v>
      </c>
      <c r="V6" s="98" t="s">
        <v>159</v>
      </c>
      <c r="X6" s="39">
        <f>J7</f>
        <v>1.8</v>
      </c>
    </row>
    <row r="7" spans="2:24" ht="12.75" customHeight="1">
      <c r="B7" s="429" t="s">
        <v>100</v>
      </c>
      <c r="C7" s="396">
        <v>80</v>
      </c>
      <c r="D7" s="433">
        <v>0.04</v>
      </c>
      <c r="E7" s="433">
        <v>0.05</v>
      </c>
      <c r="F7" s="457">
        <f>(1+D7)*(1+E7)-1</f>
        <v>9.2000000000000082E-2</v>
      </c>
      <c r="G7" s="436">
        <f>F7*C7</f>
        <v>7.3600000000000065</v>
      </c>
      <c r="I7" s="429" t="s">
        <v>159</v>
      </c>
      <c r="J7" s="430">
        <v>1.8</v>
      </c>
      <c r="N7" s="99" t="s">
        <v>53</v>
      </c>
      <c r="O7" s="454">
        <f>O5+O6</f>
        <v>162</v>
      </c>
      <c r="S7" s="466">
        <f t="shared" si="4"/>
        <v>16.216000000000008</v>
      </c>
      <c r="V7" s="98" t="s">
        <v>160</v>
      </c>
      <c r="X7" s="37">
        <f t="shared" ref="X7" si="5">J8</f>
        <v>0.06</v>
      </c>
    </row>
    <row r="8" spans="2:24" ht="12.75" customHeight="1">
      <c r="B8" s="429"/>
      <c r="C8" s="98">
        <f>SUM(C6:C7)</f>
        <v>162</v>
      </c>
      <c r="D8" s="434"/>
      <c r="F8" s="457"/>
      <c r="G8" s="458">
        <f>SUM(G6:G7)</f>
        <v>16.216000000000008</v>
      </c>
      <c r="I8" s="429" t="s">
        <v>160</v>
      </c>
      <c r="J8" s="435">
        <v>0.06</v>
      </c>
      <c r="N8" s="98" t="s">
        <v>161</v>
      </c>
      <c r="O8" s="38">
        <f t="shared" si="2"/>
        <v>60</v>
      </c>
      <c r="P8" s="37">
        <f t="shared" ref="P8" si="6">D9</f>
        <v>0.08</v>
      </c>
      <c r="Q8" s="37">
        <f t="shared" ref="Q8" si="7">E9</f>
        <v>0.98</v>
      </c>
      <c r="R8" s="37">
        <f t="shared" ref="R8" si="8">F9</f>
        <v>7.8399999999999997E-2</v>
      </c>
      <c r="S8" s="426">
        <f t="shared" si="4"/>
        <v>4.7039999999999997</v>
      </c>
      <c r="V8" s="99" t="s">
        <v>162</v>
      </c>
      <c r="W8" s="99"/>
      <c r="X8" s="465">
        <f>J10</f>
        <v>0.13800000000000001</v>
      </c>
    </row>
    <row r="9" spans="2:24" ht="12.75" customHeight="1">
      <c r="B9" s="429" t="s">
        <v>161</v>
      </c>
      <c r="C9" s="98">
        <v>60</v>
      </c>
      <c r="D9" s="434">
        <f>D6</f>
        <v>0.08</v>
      </c>
      <c r="E9" s="434">
        <v>0.98</v>
      </c>
      <c r="F9" s="457">
        <f>D9*E9</f>
        <v>7.8399999999999997E-2</v>
      </c>
      <c r="G9" s="458">
        <f>F9*C9</f>
        <v>4.7039999999999997</v>
      </c>
      <c r="I9" s="429"/>
      <c r="J9" s="430"/>
      <c r="N9" s="99" t="s">
        <v>245</v>
      </c>
      <c r="O9" s="454">
        <f>O7-O8</f>
        <v>102</v>
      </c>
      <c r="S9" s="466">
        <f>G11</f>
        <v>11.512000000000008</v>
      </c>
    </row>
    <row r="10" spans="2:24" ht="12.75" customHeight="1">
      <c r="B10" s="429"/>
      <c r="G10" s="430"/>
      <c r="I10" s="437" t="s">
        <v>162</v>
      </c>
      <c r="J10" s="438">
        <f>J6+J7*J8</f>
        <v>0.13800000000000001</v>
      </c>
      <c r="V10" s="98" t="s">
        <v>167</v>
      </c>
      <c r="X10" s="37">
        <f>J15</f>
        <v>2.8000000000000001E-2</v>
      </c>
    </row>
    <row r="11" spans="2:24" ht="12.75" customHeight="1">
      <c r="B11" s="437" t="s">
        <v>163</v>
      </c>
      <c r="C11" s="99">
        <f>C8-C9</f>
        <v>102</v>
      </c>
      <c r="E11" s="459"/>
      <c r="G11" s="439">
        <f>G8-G9</f>
        <v>11.512000000000008</v>
      </c>
      <c r="I11" s="429"/>
      <c r="J11" s="430"/>
      <c r="N11" s="99" t="s">
        <v>248</v>
      </c>
      <c r="O11" s="35"/>
      <c r="P11" s="35"/>
      <c r="Q11" s="35"/>
      <c r="R11" s="391">
        <f>F13</f>
        <v>0.11286274509803929</v>
      </c>
      <c r="V11" s="98" t="s">
        <v>169</v>
      </c>
      <c r="X11" s="37">
        <f>J17</f>
        <v>0.02</v>
      </c>
    </row>
    <row r="12" spans="2:24" ht="12.75" customHeight="1">
      <c r="B12" s="429"/>
      <c r="G12" s="430"/>
      <c r="I12" s="429"/>
      <c r="J12" s="430"/>
      <c r="N12" s="98" t="s">
        <v>37</v>
      </c>
      <c r="R12" s="392">
        <f>F15</f>
        <v>0.34</v>
      </c>
      <c r="V12" s="98" t="s">
        <v>170</v>
      </c>
      <c r="X12" s="37">
        <f>J19</f>
        <v>0.02</v>
      </c>
    </row>
    <row r="13" spans="2:24" ht="12.75" customHeight="1">
      <c r="B13" s="437" t="s">
        <v>164</v>
      </c>
      <c r="F13" s="440">
        <f>G11/C11</f>
        <v>0.11286274509803929</v>
      </c>
      <c r="G13" s="430"/>
      <c r="I13" s="441" t="s">
        <v>165</v>
      </c>
      <c r="J13" s="430"/>
      <c r="N13" s="99" t="s">
        <v>249</v>
      </c>
      <c r="O13" s="35"/>
      <c r="P13" s="35"/>
      <c r="Q13" s="35"/>
      <c r="R13" s="463">
        <f>F17</f>
        <v>7.4489411764705915E-2</v>
      </c>
      <c r="V13" s="99" t="s">
        <v>171</v>
      </c>
      <c r="W13" s="99"/>
      <c r="X13" s="465">
        <f>J21</f>
        <v>0.20599999999999999</v>
      </c>
    </row>
    <row r="14" spans="2:24" ht="12.75" customHeight="1">
      <c r="B14" s="429"/>
      <c r="G14" s="430"/>
      <c r="I14" s="429"/>
      <c r="J14" s="430"/>
    </row>
    <row r="15" spans="2:24" ht="12.75" customHeight="1">
      <c r="B15" s="429" t="s">
        <v>166</v>
      </c>
      <c r="F15" s="434">
        <v>0.34</v>
      </c>
      <c r="G15" s="430"/>
      <c r="I15" s="429" t="s">
        <v>167</v>
      </c>
      <c r="J15" s="435">
        <v>2.8000000000000001E-2</v>
      </c>
      <c r="M15" s="376" t="s">
        <v>255</v>
      </c>
    </row>
    <row r="16" spans="2:24" ht="12.75" customHeight="1">
      <c r="B16" s="429"/>
      <c r="G16" s="430"/>
      <c r="I16" s="429"/>
      <c r="J16" s="435"/>
    </row>
    <row r="17" spans="2:17" ht="12.75" customHeight="1">
      <c r="B17" s="442" t="s">
        <v>168</v>
      </c>
      <c r="C17" s="443"/>
      <c r="D17" s="443"/>
      <c r="E17" s="443"/>
      <c r="F17" s="444">
        <f>F13*(1-F15)</f>
        <v>7.4489411764705915E-2</v>
      </c>
      <c r="G17" s="445"/>
      <c r="I17" s="429" t="s">
        <v>169</v>
      </c>
      <c r="J17" s="435">
        <v>0.02</v>
      </c>
      <c r="N17" s="431" t="s">
        <v>252</v>
      </c>
      <c r="O17" s="432" t="s">
        <v>253</v>
      </c>
      <c r="P17" s="432" t="s">
        <v>154</v>
      </c>
      <c r="Q17" s="432" t="s">
        <v>254</v>
      </c>
    </row>
    <row r="18" spans="2:17" ht="12.75" customHeight="1">
      <c r="I18" s="429"/>
      <c r="J18" s="435"/>
      <c r="N18" s="98" t="s">
        <v>244</v>
      </c>
      <c r="O18" s="37">
        <f>C28</f>
        <v>0.50502706883217319</v>
      </c>
      <c r="P18" s="37">
        <f>D28</f>
        <v>7.4489411764705915E-2</v>
      </c>
      <c r="Q18" s="464">
        <f>E28</f>
        <v>3.7619169282562225E-2</v>
      </c>
    </row>
    <row r="19" spans="2:17" ht="12.75" customHeight="1">
      <c r="I19" s="429" t="s">
        <v>170</v>
      </c>
      <c r="J19" s="435">
        <v>0.02</v>
      </c>
      <c r="N19" s="98" t="s">
        <v>251</v>
      </c>
      <c r="O19" s="37">
        <f t="shared" ref="O19:Q19" si="9">C29</f>
        <v>0.49497293116782681</v>
      </c>
      <c r="P19" s="37">
        <f t="shared" si="9"/>
        <v>0.20599999999999999</v>
      </c>
      <c r="Q19" s="464">
        <f t="shared" si="9"/>
        <v>0.10196442382057232</v>
      </c>
    </row>
    <row r="20" spans="2:17" ht="12.75" customHeight="1">
      <c r="I20" s="429"/>
      <c r="J20" s="430"/>
      <c r="N20" s="99" t="s">
        <v>7</v>
      </c>
      <c r="O20" s="35"/>
      <c r="P20" s="35"/>
      <c r="Q20" s="463">
        <f>E31</f>
        <v>0.13958359310313453</v>
      </c>
    </row>
    <row r="21" spans="2:17" ht="12.75" customHeight="1">
      <c r="I21" s="442" t="s">
        <v>171</v>
      </c>
      <c r="J21" s="446">
        <f>J10+J15+J17+J19</f>
        <v>0.20599999999999999</v>
      </c>
    </row>
    <row r="23" spans="2:17" ht="12.75" customHeight="1">
      <c r="B23" s="612" t="s">
        <v>172</v>
      </c>
      <c r="C23" s="613"/>
      <c r="D23" s="613"/>
      <c r="E23" s="614"/>
    </row>
    <row r="24" spans="2:17" ht="12.75" customHeight="1">
      <c r="B24" s="429"/>
      <c r="E24" s="430"/>
      <c r="J24" s="433"/>
    </row>
    <row r="25" spans="2:17" ht="12.75" customHeight="1">
      <c r="B25" s="447" t="s">
        <v>173</v>
      </c>
      <c r="C25" s="395" t="s">
        <v>174</v>
      </c>
      <c r="D25" s="395" t="s">
        <v>175</v>
      </c>
      <c r="E25" s="448" t="s">
        <v>176</v>
      </c>
    </row>
    <row r="26" spans="2:17" ht="12.75" customHeight="1">
      <c r="B26" s="429"/>
      <c r="E26" s="430"/>
    </row>
    <row r="27" spans="2:17" ht="12.75" customHeight="1">
      <c r="B27" s="429"/>
      <c r="E27" s="430"/>
    </row>
    <row r="28" spans="2:17" ht="12.75" customHeight="1">
      <c r="B28" s="429" t="s">
        <v>150</v>
      </c>
      <c r="C28" s="459">
        <f>'Cap 10 Vegas 3'!D18</f>
        <v>0.50502706883217319</v>
      </c>
      <c r="D28" s="449">
        <f>F17</f>
        <v>7.4489411764705915E-2</v>
      </c>
      <c r="E28" s="450">
        <f>D28*C28</f>
        <v>3.7619169282562225E-2</v>
      </c>
      <c r="F28" s="449"/>
    </row>
    <row r="29" spans="2:17" ht="12.75" customHeight="1">
      <c r="B29" s="429" t="s">
        <v>177</v>
      </c>
      <c r="C29" s="459">
        <f>1-C28</f>
        <v>0.49497293116782681</v>
      </c>
      <c r="D29" s="449">
        <f>J21</f>
        <v>0.20599999999999999</v>
      </c>
      <c r="E29" s="451">
        <f>D29*C29</f>
        <v>0.10196442382057232</v>
      </c>
      <c r="F29" s="449"/>
    </row>
    <row r="30" spans="2:17" ht="12.75" customHeight="1">
      <c r="B30" s="429"/>
      <c r="E30" s="430"/>
      <c r="F30" s="452"/>
    </row>
    <row r="31" spans="2:17" ht="12.75" customHeight="1">
      <c r="B31" s="442" t="s">
        <v>7</v>
      </c>
      <c r="C31" s="377"/>
      <c r="D31" s="377"/>
      <c r="E31" s="444">
        <f>SUM(E28:E29)</f>
        <v>0.13958359310313453</v>
      </c>
      <c r="F31" s="460"/>
    </row>
    <row r="33" spans="2:8" ht="12.75" customHeight="1">
      <c r="B33" s="377" t="s">
        <v>24</v>
      </c>
      <c r="C33" s="453">
        <v>2016</v>
      </c>
      <c r="D33" s="453">
        <f>+C33+1</f>
        <v>2017</v>
      </c>
      <c r="E33" s="453">
        <f>+D33+1</f>
        <v>2018</v>
      </c>
      <c r="F33" s="453">
        <f>+E33+1</f>
        <v>2019</v>
      </c>
      <c r="G33" s="453">
        <f>+F33+1</f>
        <v>2020</v>
      </c>
      <c r="H33" s="453">
        <f>+G33+1</f>
        <v>2021</v>
      </c>
    </row>
    <row r="34" spans="2:8" ht="12.75" customHeight="1">
      <c r="B34" s="98" t="s">
        <v>150</v>
      </c>
      <c r="C34" s="461">
        <f>C11*1000</f>
        <v>102000</v>
      </c>
      <c r="D34" s="461">
        <f>'Cap 10 Vegas 3'!E17</f>
        <v>171087.7833768368</v>
      </c>
      <c r="E34" s="461">
        <f>'Cap 10 Vegas 3'!F17</f>
        <v>212832.6106921887</v>
      </c>
      <c r="F34" s="461">
        <f>'Cap 10 Vegas 3'!G17</f>
        <v>221874.96253866973</v>
      </c>
      <c r="G34" s="461">
        <f>'Cap 10 Vegas 3'!H17</f>
        <v>218372.17961801525</v>
      </c>
      <c r="H34" s="461">
        <f>'Cap 10 Vegas 3'!I17</f>
        <v>215089.50367060612</v>
      </c>
    </row>
    <row r="35" spans="2:8" ht="12.75" customHeight="1">
      <c r="B35" s="98" t="s">
        <v>154</v>
      </c>
      <c r="C35" s="462">
        <f>F13</f>
        <v>0.11286274509803929</v>
      </c>
      <c r="D35" s="449">
        <f>C35</f>
        <v>0.11286274509803929</v>
      </c>
      <c r="E35" s="449">
        <f t="shared" ref="E35:H35" si="10">D35</f>
        <v>0.11286274509803929</v>
      </c>
      <c r="F35" s="449">
        <f t="shared" si="10"/>
        <v>0.11286274509803929</v>
      </c>
      <c r="G35" s="449">
        <f t="shared" si="10"/>
        <v>0.11286274509803929</v>
      </c>
      <c r="H35" s="449">
        <f t="shared" si="10"/>
        <v>0.11286274509803929</v>
      </c>
    </row>
    <row r="36" spans="2:8" ht="12.75" customHeight="1">
      <c r="B36" s="98" t="s">
        <v>178</v>
      </c>
      <c r="C36" s="461">
        <f>C35*C34</f>
        <v>11512.000000000007</v>
      </c>
      <c r="D36" s="461">
        <f>D35*D34</f>
        <v>19309.436884648494</v>
      </c>
      <c r="E36" s="461">
        <f t="shared" ref="E36:H36" si="11">E35*E34</f>
        <v>24020.872689102722</v>
      </c>
      <c r="F36" s="461">
        <f t="shared" si="11"/>
        <v>25041.417340638898</v>
      </c>
      <c r="G36" s="461">
        <f t="shared" si="11"/>
        <v>24646.083644731305</v>
      </c>
      <c r="H36" s="461">
        <f t="shared" si="11"/>
        <v>24275.591826039403</v>
      </c>
    </row>
  </sheetData>
  <mergeCells count="4">
    <mergeCell ref="B2:G2"/>
    <mergeCell ref="I2:J2"/>
    <mergeCell ref="D4:F4"/>
    <mergeCell ref="B23:E23"/>
  </mergeCells>
  <pageMargins left="0.51" right="0.51" top="0.79000000000000015" bottom="0.79000000000000015" header="0.31" footer="0.31"/>
  <pageSetup paperSize="9" scale="55" orientation="landscape" r:id="rId1"/>
  <ignoredErrors>
    <ignoredError sqref="O7" 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41E44-3CE5-4F0F-ABE3-08F0FDEF6B70}">
  <sheetPr codeName="Sheet142"/>
  <dimension ref="B2:L24"/>
  <sheetViews>
    <sheetView showGridLines="0" zoomScale="72" zoomScaleNormal="72" workbookViewId="0">
      <selection activeCell="G12" sqref="G12"/>
    </sheetView>
  </sheetViews>
  <sheetFormatPr defaultColWidth="8.625" defaultRowHeight="12.75" customHeight="1"/>
  <cols>
    <col min="1" max="1" width="8.625" style="202"/>
    <col min="2" max="2" width="2.625" style="202" customWidth="1"/>
    <col min="3" max="3" width="21.25" style="202" bestFit="1" customWidth="1"/>
    <col min="4" max="9" width="9.875" style="33" customWidth="1"/>
    <col min="10" max="16384" width="8.625" style="202"/>
  </cols>
  <sheetData>
    <row r="2" spans="2:12" s="99" customFormat="1" ht="12.75" customHeight="1">
      <c r="B2" s="398" t="s">
        <v>243</v>
      </c>
      <c r="C2" s="398"/>
      <c r="D2" s="475">
        <f>+'Cap 10 Vegas 3'!D9</f>
        <v>2019</v>
      </c>
      <c r="E2" s="32">
        <v>2020</v>
      </c>
      <c r="F2" s="32">
        <f>+E2+1</f>
        <v>2021</v>
      </c>
      <c r="G2" s="32">
        <f>+F2+1</f>
        <v>2022</v>
      </c>
      <c r="H2" s="32">
        <f>+G2+1</f>
        <v>2023</v>
      </c>
      <c r="I2" s="32">
        <f>+H2+1</f>
        <v>2024</v>
      </c>
      <c r="J2" s="398"/>
      <c r="K2" s="378"/>
    </row>
    <row r="3" spans="2:12" s="99" customFormat="1" ht="12.75" customHeight="1">
      <c r="C3" s="104" t="s">
        <v>49</v>
      </c>
      <c r="D3" s="46"/>
      <c r="E3" s="101">
        <f>'Cap 10 Vegas 3'!E7</f>
        <v>-179705.3125</v>
      </c>
      <c r="F3" s="101">
        <f>+'Cap 10 Vegas 3'!F7</f>
        <v>-73482.118749999951</v>
      </c>
      <c r="G3" s="101">
        <f>+'Cap 10 Vegas 3'!G7</f>
        <v>77954.95000000007</v>
      </c>
      <c r="H3" s="101">
        <f>+'Cap 10 Vegas 3'!H7</f>
        <v>60260.648562499962</v>
      </c>
      <c r="I3" s="101">
        <f>+'Cap 10 Vegas 3'!I7</f>
        <v>56524.816531249933</v>
      </c>
      <c r="J3" s="382"/>
      <c r="K3" s="383"/>
      <c r="L3" s="98"/>
    </row>
    <row r="4" spans="2:12" s="99" customFormat="1" ht="12.75" customHeight="1">
      <c r="C4" s="98"/>
      <c r="D4" s="39"/>
      <c r="E4" s="14"/>
      <c r="F4" s="14"/>
      <c r="G4" s="14"/>
      <c r="H4" s="14"/>
      <c r="I4" s="14"/>
      <c r="J4" s="382"/>
      <c r="K4" s="383"/>
      <c r="L4" s="98"/>
    </row>
    <row r="5" spans="2:12" s="99" customFormat="1" ht="12.75" customHeight="1">
      <c r="C5" s="104" t="s">
        <v>231</v>
      </c>
      <c r="D5" s="39"/>
      <c r="E5" s="14"/>
      <c r="F5" s="14"/>
      <c r="G5" s="14"/>
      <c r="H5" s="14"/>
      <c r="I5" s="101">
        <f>I3*(1+D14)/(D13-D14)</f>
        <v>624510.35467374953</v>
      </c>
      <c r="J5" s="382"/>
      <c r="K5" s="383"/>
      <c r="L5" s="98"/>
    </row>
    <row r="6" spans="2:12" s="99" customFormat="1" ht="12.75" customHeight="1">
      <c r="C6" s="104" t="s">
        <v>51</v>
      </c>
      <c r="D6" s="46"/>
      <c r="E6" s="46">
        <f>+(1+$D13)^(E2-$D2)</f>
        <v>1.0957534549068602</v>
      </c>
      <c r="F6" s="46">
        <f>+(1+$D13)^(F2-$D2)</f>
        <v>1.2006756339403204</v>
      </c>
      <c r="G6" s="46">
        <f>+(1+$D13)^(G2-$D2)</f>
        <v>1.3156444741125906</v>
      </c>
      <c r="H6" s="46">
        <f>+(1+$D13)^(H2-$D2)</f>
        <v>1.4416219779379902</v>
      </c>
      <c r="I6" s="46">
        <f>+(1+$D13)^(I2-$D2)</f>
        <v>1.5796622629952142</v>
      </c>
      <c r="J6" s="98"/>
      <c r="K6" s="383"/>
      <c r="L6" s="98"/>
    </row>
    <row r="7" spans="2:12" s="99" customFormat="1" ht="12.75" customHeight="1">
      <c r="C7" s="105" t="s">
        <v>232</v>
      </c>
      <c r="D7" s="46"/>
      <c r="E7" s="100">
        <f>+E3/E6</f>
        <v>-164001.59332856047</v>
      </c>
      <c r="F7" s="100">
        <f>+F3/F6</f>
        <v>-61200.641266325874</v>
      </c>
      <c r="G7" s="100">
        <f>+G3/G6</f>
        <v>59252.291583241829</v>
      </c>
      <c r="H7" s="100">
        <f>+H3/H6</f>
        <v>41800.589533667619</v>
      </c>
      <c r="I7" s="100">
        <f>+I3/I6</f>
        <v>35782.84919212581</v>
      </c>
      <c r="J7" s="382"/>
      <c r="K7" s="383"/>
      <c r="L7" s="98"/>
    </row>
    <row r="8" spans="2:12" s="99" customFormat="1" ht="12.75" customHeight="1">
      <c r="C8" s="98"/>
      <c r="D8" s="39"/>
      <c r="E8" s="39"/>
      <c r="F8" s="39"/>
      <c r="G8" s="39"/>
      <c r="H8" s="39"/>
      <c r="I8" s="39"/>
      <c r="J8" s="98"/>
      <c r="K8" s="383"/>
      <c r="L8" s="98"/>
    </row>
    <row r="9" spans="2:12" s="98" customFormat="1" ht="12.75" customHeight="1">
      <c r="C9" s="104" t="s">
        <v>233</v>
      </c>
      <c r="D9" s="101">
        <f>SUM(E7:I7)</f>
        <v>-88366.504285851071</v>
      </c>
      <c r="E9" s="39"/>
      <c r="F9" s="39"/>
      <c r="G9" s="39"/>
      <c r="H9" s="39"/>
      <c r="I9" s="39"/>
      <c r="K9" s="383"/>
    </row>
    <row r="10" spans="2:12" s="98" customFormat="1" ht="12.75" customHeight="1">
      <c r="C10" s="104" t="s">
        <v>234</v>
      </c>
      <c r="D10" s="101">
        <f>I5/I6</f>
        <v>395344.22598005785</v>
      </c>
      <c r="E10" s="39"/>
      <c r="F10" s="39"/>
      <c r="G10" s="425"/>
      <c r="H10" s="39"/>
      <c r="I10" s="39"/>
      <c r="K10" s="383"/>
    </row>
    <row r="11" spans="2:12" s="98" customFormat="1" ht="12.75" customHeight="1">
      <c r="C11" s="105" t="s">
        <v>62</v>
      </c>
      <c r="D11" s="100">
        <f>+D9+D10</f>
        <v>306977.72169420676</v>
      </c>
      <c r="E11" s="39"/>
      <c r="F11" s="39"/>
      <c r="G11" s="39"/>
      <c r="H11" s="39"/>
      <c r="I11" s="39"/>
      <c r="K11" s="383"/>
    </row>
    <row r="12" spans="2:12" s="98" customFormat="1" ht="12.75" customHeight="1">
      <c r="D12" s="37"/>
      <c r="E12" s="38"/>
      <c r="F12" s="42" t="s">
        <v>235</v>
      </c>
      <c r="G12" s="106">
        <f>'Cap 10 Vegas 4'!E31</f>
        <v>0.13958359310313453</v>
      </c>
      <c r="H12" s="42" t="s">
        <v>236</v>
      </c>
      <c r="I12" s="106">
        <v>4.4999999999999998E-2</v>
      </c>
      <c r="K12" s="383"/>
    </row>
    <row r="13" spans="2:12" s="99" customFormat="1" ht="12.75" customHeight="1">
      <c r="C13" s="105" t="s">
        <v>237</v>
      </c>
      <c r="D13" s="52">
        <f>G14</f>
        <v>9.5753454906860158E-2</v>
      </c>
      <c r="E13" s="35"/>
      <c r="F13" s="44" t="s">
        <v>238</v>
      </c>
      <c r="G13" s="49">
        <v>0.04</v>
      </c>
      <c r="H13" s="44" t="s">
        <v>238</v>
      </c>
      <c r="I13" s="49">
        <f>G13</f>
        <v>0.04</v>
      </c>
      <c r="K13" s="467"/>
    </row>
    <row r="14" spans="2:12" s="99" customFormat="1" ht="12.75" customHeight="1">
      <c r="C14" s="105" t="s">
        <v>236</v>
      </c>
      <c r="D14" s="405">
        <f>I14</f>
        <v>4.8076923076922906E-3</v>
      </c>
      <c r="E14" s="35"/>
      <c r="F14" s="44" t="s">
        <v>239</v>
      </c>
      <c r="G14" s="404">
        <f>(1+G12)/(1+G13)-1</f>
        <v>9.5753454906860158E-2</v>
      </c>
      <c r="H14" s="44" t="s">
        <v>239</v>
      </c>
      <c r="I14" s="404">
        <f>(1+I12)/(1+I13)-1</f>
        <v>4.8076923076922906E-3</v>
      </c>
      <c r="K14" s="468"/>
    </row>
    <row r="15" spans="2:12" s="98" customFormat="1" ht="12.75" customHeight="1">
      <c r="D15" s="393"/>
      <c r="E15" s="38"/>
      <c r="F15" s="38"/>
      <c r="G15" s="38"/>
      <c r="H15" s="38"/>
      <c r="I15" s="38"/>
      <c r="K15" s="383"/>
    </row>
    <row r="16" spans="2:12" s="99" customFormat="1" ht="12.75" customHeight="1">
      <c r="B16" s="398" t="s">
        <v>110</v>
      </c>
      <c r="C16" s="35"/>
      <c r="D16" s="35"/>
      <c r="E16" s="35"/>
      <c r="F16" s="35"/>
      <c r="G16" s="35"/>
      <c r="H16" s="35"/>
      <c r="I16" s="35"/>
      <c r="K16" s="378"/>
    </row>
    <row r="17" spans="3:11" s="98" customFormat="1" ht="12.75" customHeight="1">
      <c r="C17" s="104" t="s">
        <v>62</v>
      </c>
      <c r="D17" s="101">
        <f>D11</f>
        <v>306977.72169420676</v>
      </c>
      <c r="E17" s="38"/>
      <c r="F17" s="38"/>
      <c r="G17" s="38"/>
      <c r="H17" s="38"/>
      <c r="I17" s="38"/>
      <c r="K17" s="383"/>
    </row>
    <row r="18" spans="3:11" s="98" customFormat="1" ht="12.75" customHeight="1">
      <c r="C18" s="104" t="s">
        <v>60</v>
      </c>
      <c r="D18" s="101">
        <f>'Cap 10 Vegas 3'!D17</f>
        <v>102031.25</v>
      </c>
      <c r="E18" s="473"/>
      <c r="F18" s="38"/>
      <c r="G18" s="38"/>
      <c r="H18" s="38"/>
      <c r="I18" s="38"/>
      <c r="K18" s="383"/>
    </row>
    <row r="19" spans="3:11" s="98" customFormat="1" ht="12.75" customHeight="1">
      <c r="C19" s="105" t="s">
        <v>240</v>
      </c>
      <c r="D19" s="100">
        <f>D17-D18</f>
        <v>204946.47169420676</v>
      </c>
      <c r="E19" s="473"/>
      <c r="F19" s="37"/>
      <c r="G19" s="38"/>
      <c r="H19" s="473"/>
      <c r="I19" s="37"/>
      <c r="K19" s="470"/>
    </row>
    <row r="20" spans="3:11" s="98" customFormat="1" ht="12.75" customHeight="1">
      <c r="C20" s="104" t="s">
        <v>241</v>
      </c>
      <c r="D20" s="101">
        <v>50000</v>
      </c>
      <c r="E20" s="38"/>
      <c r="F20" s="37"/>
      <c r="G20" s="38"/>
      <c r="H20" s="473"/>
      <c r="I20" s="474"/>
      <c r="K20" s="383"/>
    </row>
    <row r="21" spans="3:11" s="98" customFormat="1" ht="12.75" customHeight="1">
      <c r="C21" s="105" t="s">
        <v>242</v>
      </c>
      <c r="D21" s="476">
        <f>+D19/D20</f>
        <v>4.0989294338841349</v>
      </c>
      <c r="E21" s="38"/>
      <c r="F21" s="38"/>
      <c r="G21" s="38"/>
      <c r="H21" s="38"/>
      <c r="I21" s="37"/>
      <c r="K21" s="383"/>
    </row>
    <row r="22" spans="3:11" s="98" customFormat="1" ht="12.75" customHeight="1">
      <c r="D22" s="14"/>
      <c r="E22" s="38"/>
      <c r="F22" s="38"/>
      <c r="G22" s="38"/>
      <c r="H22" s="38"/>
      <c r="I22" s="37"/>
      <c r="K22" s="383"/>
    </row>
    <row r="23" spans="3:11" s="98" customFormat="1" ht="12.75" customHeight="1">
      <c r="C23" s="104" t="s">
        <v>30</v>
      </c>
      <c r="D23" s="101">
        <f>'Cap 10 Vegas 3'!D19</f>
        <v>100000</v>
      </c>
      <c r="E23" s="38"/>
      <c r="F23" s="38"/>
      <c r="G23" s="38"/>
      <c r="H23" s="38"/>
      <c r="I23" s="37"/>
      <c r="K23" s="383"/>
    </row>
    <row r="24" spans="3:11" s="98" customFormat="1" ht="12.75" customHeight="1">
      <c r="C24" s="105" t="s">
        <v>64</v>
      </c>
      <c r="D24" s="476">
        <f>D19/D23</f>
        <v>2.0494647169420674</v>
      </c>
      <c r="E24" s="38"/>
      <c r="F24" s="38"/>
      <c r="G24" s="38"/>
      <c r="H24" s="38"/>
      <c r="I24" s="37"/>
      <c r="K24" s="383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C25E0-1AEA-4C5E-B776-0A711803C27B}">
  <sheetPr codeName="Sheet143"/>
  <dimension ref="B2:N20"/>
  <sheetViews>
    <sheetView showGridLines="0" zoomScale="66" zoomScaleNormal="66" workbookViewId="0">
      <selection activeCell="B2" sqref="B2:I20"/>
    </sheetView>
  </sheetViews>
  <sheetFormatPr defaultColWidth="9" defaultRowHeight="12.75" customHeight="1"/>
  <cols>
    <col min="1" max="2" width="2.625" style="202" customWidth="1"/>
    <col min="3" max="3" width="41.25" style="202" bestFit="1" customWidth="1"/>
    <col min="4" max="9" width="9" style="33"/>
    <col min="10" max="10" width="3.625" style="202" customWidth="1"/>
    <col min="11" max="11" width="44.625" style="202" bestFit="1" customWidth="1"/>
    <col min="12" max="16384" width="9" style="202"/>
  </cols>
  <sheetData>
    <row r="2" spans="2:14" s="99" customFormat="1" ht="13.5">
      <c r="B2" s="398" t="s">
        <v>179</v>
      </c>
      <c r="C2" s="398"/>
      <c r="D2" s="32">
        <v>2019</v>
      </c>
      <c r="E2" s="32" t="s">
        <v>266</v>
      </c>
      <c r="F2" s="32" t="s">
        <v>267</v>
      </c>
      <c r="G2" s="32" t="s">
        <v>268</v>
      </c>
      <c r="H2" s="32" t="s">
        <v>269</v>
      </c>
      <c r="I2" s="32" t="s">
        <v>270</v>
      </c>
      <c r="J2" s="399"/>
      <c r="K2" s="377" t="s">
        <v>180</v>
      </c>
      <c r="L2" s="378"/>
    </row>
    <row r="3" spans="2:14" s="99" customFormat="1" ht="13.5">
      <c r="C3" s="105" t="s">
        <v>181</v>
      </c>
      <c r="D3" s="400">
        <v>10000</v>
      </c>
      <c r="E3" s="400">
        <f>D3*(1+E4)</f>
        <v>11500</v>
      </c>
      <c r="F3" s="400">
        <f>E3*(1+F4)</f>
        <v>12650.000000000002</v>
      </c>
      <c r="G3" s="400">
        <f>F3*(1+G4)</f>
        <v>13282.500000000002</v>
      </c>
      <c r="H3" s="400">
        <f>G3*(1+H4)</f>
        <v>13946.625000000002</v>
      </c>
      <c r="I3" s="400">
        <f>H3*(1+I4)</f>
        <v>13946.625000000002</v>
      </c>
      <c r="J3" s="379"/>
      <c r="L3" s="378"/>
    </row>
    <row r="4" spans="2:14" s="99" customFormat="1" ht="13.5">
      <c r="C4" s="105" t="s">
        <v>182</v>
      </c>
      <c r="D4" s="42" t="s">
        <v>183</v>
      </c>
      <c r="E4" s="401">
        <v>0.15</v>
      </c>
      <c r="F4" s="401">
        <v>0.1</v>
      </c>
      <c r="G4" s="401">
        <v>0.05</v>
      </c>
      <c r="H4" s="401">
        <v>0.05</v>
      </c>
      <c r="I4" s="401">
        <v>0</v>
      </c>
      <c r="J4" s="381"/>
      <c r="L4" s="378"/>
    </row>
    <row r="5" spans="2:14" s="99" customFormat="1" ht="13.5">
      <c r="C5" s="105" t="s">
        <v>184</v>
      </c>
      <c r="D5" s="401">
        <v>0.25</v>
      </c>
      <c r="E5" s="401">
        <v>0.25</v>
      </c>
      <c r="F5" s="401">
        <v>0.4</v>
      </c>
      <c r="G5" s="401">
        <f>F5</f>
        <v>0.4</v>
      </c>
      <c r="H5" s="401">
        <f>G5</f>
        <v>0.4</v>
      </c>
      <c r="I5" s="401">
        <f>H5</f>
        <v>0.4</v>
      </c>
      <c r="J5" s="381"/>
      <c r="K5" s="99" t="s">
        <v>271</v>
      </c>
      <c r="L5" s="378"/>
    </row>
    <row r="6" spans="2:14" s="99" customFormat="1" ht="13.5">
      <c r="C6" s="105" t="s">
        <v>185</v>
      </c>
      <c r="D6" s="42">
        <v>300</v>
      </c>
      <c r="E6" s="42">
        <v>330</v>
      </c>
      <c r="F6" s="42">
        <v>360</v>
      </c>
      <c r="G6" s="42">
        <v>400</v>
      </c>
      <c r="H6" s="42">
        <v>380</v>
      </c>
      <c r="I6" s="42">
        <v>380</v>
      </c>
      <c r="J6" s="380"/>
      <c r="L6" s="378"/>
    </row>
    <row r="7" spans="2:14" s="99" customFormat="1" ht="13.5">
      <c r="D7" s="35"/>
      <c r="E7" s="35"/>
      <c r="F7" s="35"/>
      <c r="G7" s="35"/>
      <c r="H7" s="35"/>
      <c r="I7" s="35"/>
      <c r="J7" s="380"/>
      <c r="L7" s="378"/>
    </row>
    <row r="8" spans="2:14" s="98" customFormat="1" ht="13.5">
      <c r="C8" s="104" t="s">
        <v>186</v>
      </c>
      <c r="D8" s="402">
        <f t="shared" ref="D8:I8" si="0">D3*D5*D6</f>
        <v>750000</v>
      </c>
      <c r="E8" s="402">
        <f t="shared" si="0"/>
        <v>948750</v>
      </c>
      <c r="F8" s="402">
        <f t="shared" si="0"/>
        <v>1821600.0000000002</v>
      </c>
      <c r="G8" s="402">
        <f t="shared" si="0"/>
        <v>2125200.0000000005</v>
      </c>
      <c r="H8" s="402">
        <f t="shared" si="0"/>
        <v>2119887.0000000005</v>
      </c>
      <c r="I8" s="402">
        <f t="shared" si="0"/>
        <v>2119887.0000000005</v>
      </c>
      <c r="J8" s="382"/>
      <c r="L8" s="383"/>
    </row>
    <row r="9" spans="2:14" s="99" customFormat="1" ht="13.5">
      <c r="C9" s="105" t="s">
        <v>187</v>
      </c>
      <c r="D9" s="52">
        <v>0.125</v>
      </c>
      <c r="E9" s="52">
        <f>D9</f>
        <v>0.125</v>
      </c>
      <c r="F9" s="52">
        <f>E9</f>
        <v>0.125</v>
      </c>
      <c r="G9" s="52">
        <f>F9</f>
        <v>0.125</v>
      </c>
      <c r="H9" s="52">
        <f>G9</f>
        <v>0.125</v>
      </c>
      <c r="I9" s="52">
        <f>H9</f>
        <v>0.125</v>
      </c>
      <c r="J9" s="384"/>
      <c r="L9" s="378"/>
    </row>
    <row r="10" spans="2:14" s="98" customFormat="1" ht="13.5">
      <c r="C10" s="104" t="s">
        <v>188</v>
      </c>
      <c r="D10" s="44" t="s">
        <v>183</v>
      </c>
      <c r="E10" s="403">
        <f>E8/D8-1</f>
        <v>0.2649999999999999</v>
      </c>
      <c r="F10" s="403">
        <f>F8/E8-1</f>
        <v>0.92000000000000015</v>
      </c>
      <c r="G10" s="403">
        <f>G8/F8-1</f>
        <v>0.16666666666666674</v>
      </c>
      <c r="H10" s="403">
        <f>H8/G8-1</f>
        <v>-2.4999999999999467E-3</v>
      </c>
      <c r="I10" s="403">
        <f>I8/H8-1</f>
        <v>0</v>
      </c>
      <c r="J10" s="385"/>
      <c r="K10" s="98" t="s">
        <v>189</v>
      </c>
      <c r="L10" s="383"/>
      <c r="N10" s="99"/>
    </row>
    <row r="11" spans="2:14" s="99" customFormat="1" ht="13.5">
      <c r="C11" s="105" t="s">
        <v>190</v>
      </c>
      <c r="D11" s="42">
        <v>200</v>
      </c>
      <c r="E11" s="42">
        <v>250</v>
      </c>
      <c r="F11" s="42">
        <v>250</v>
      </c>
      <c r="G11" s="42">
        <v>250</v>
      </c>
      <c r="H11" s="42">
        <v>250</v>
      </c>
      <c r="I11" s="42">
        <v>250</v>
      </c>
      <c r="J11" s="380"/>
      <c r="L11" s="378"/>
    </row>
    <row r="12" spans="2:14" s="98" customFormat="1" ht="13.5">
      <c r="C12" s="104" t="s">
        <v>191</v>
      </c>
      <c r="D12" s="404">
        <f t="shared" ref="D12:I12" si="1">((D6*(1-D9))-D11)/(D6*(1-D9))</f>
        <v>0.23809523809523808</v>
      </c>
      <c r="E12" s="404">
        <f t="shared" si="1"/>
        <v>0.13419913419913421</v>
      </c>
      <c r="F12" s="404">
        <f t="shared" si="1"/>
        <v>0.20634920634920634</v>
      </c>
      <c r="G12" s="404">
        <f t="shared" si="1"/>
        <v>0.2857142857142857</v>
      </c>
      <c r="H12" s="404">
        <f t="shared" si="1"/>
        <v>0.24812030075187969</v>
      </c>
      <c r="I12" s="404">
        <f t="shared" si="1"/>
        <v>0.24812030075187969</v>
      </c>
      <c r="J12" s="386"/>
      <c r="K12" s="98" t="s">
        <v>192</v>
      </c>
      <c r="L12" s="383"/>
      <c r="N12" s="99"/>
    </row>
    <row r="13" spans="2:14" s="99" customFormat="1" ht="13.5">
      <c r="C13" s="105" t="s">
        <v>193</v>
      </c>
      <c r="D13" s="405">
        <v>0.05</v>
      </c>
      <c r="E13" s="405">
        <f>+D13</f>
        <v>0.05</v>
      </c>
      <c r="F13" s="405">
        <v>0.05</v>
      </c>
      <c r="G13" s="405">
        <f>+F13</f>
        <v>0.05</v>
      </c>
      <c r="H13" s="405">
        <f>+G13</f>
        <v>0.05</v>
      </c>
      <c r="I13" s="405">
        <f>+H13</f>
        <v>0.05</v>
      </c>
      <c r="J13" s="387"/>
      <c r="K13" s="99" t="s">
        <v>194</v>
      </c>
      <c r="L13" s="378"/>
    </row>
    <row r="14" spans="2:14" s="99" customFormat="1" ht="13.5">
      <c r="C14" s="105" t="s">
        <v>195</v>
      </c>
      <c r="D14" s="42" t="s">
        <v>183</v>
      </c>
      <c r="E14" s="405">
        <v>0.25</v>
      </c>
      <c r="F14" s="405">
        <v>0.5</v>
      </c>
      <c r="G14" s="405">
        <v>0.05</v>
      </c>
      <c r="H14" s="405">
        <v>0.05</v>
      </c>
      <c r="I14" s="405">
        <v>0</v>
      </c>
      <c r="J14" s="387"/>
      <c r="K14" s="99" t="s">
        <v>272</v>
      </c>
      <c r="L14" s="378"/>
    </row>
    <row r="15" spans="2:14" s="99" customFormat="1" ht="13.5">
      <c r="C15" s="105" t="s">
        <v>83</v>
      </c>
      <c r="D15" s="405">
        <v>0.34</v>
      </c>
      <c r="E15" s="405">
        <f>+D15</f>
        <v>0.34</v>
      </c>
      <c r="F15" s="405">
        <f>+E15</f>
        <v>0.34</v>
      </c>
      <c r="G15" s="405">
        <f>+F15</f>
        <v>0.34</v>
      </c>
      <c r="H15" s="405">
        <f>+G15</f>
        <v>0.34</v>
      </c>
      <c r="I15" s="405">
        <f>+H15</f>
        <v>0.34</v>
      </c>
      <c r="J15" s="387"/>
      <c r="K15" s="99" t="s">
        <v>197</v>
      </c>
      <c r="L15" s="378"/>
    </row>
    <row r="16" spans="2:14" s="98" customFormat="1" ht="9.9499999999999993" customHeight="1">
      <c r="D16" s="38"/>
      <c r="E16" s="394"/>
      <c r="F16" s="394"/>
      <c r="G16" s="394"/>
      <c r="H16" s="394"/>
      <c r="I16" s="394"/>
      <c r="J16" s="388"/>
      <c r="L16" s="383"/>
      <c r="N16" s="99"/>
    </row>
    <row r="17" spans="2:12" s="99" customFormat="1" ht="13.5">
      <c r="B17" s="398" t="s">
        <v>198</v>
      </c>
      <c r="C17" s="398"/>
      <c r="D17" s="32">
        <v>2019</v>
      </c>
      <c r="E17" s="32" t="s">
        <v>266</v>
      </c>
      <c r="F17" s="32" t="s">
        <v>267</v>
      </c>
      <c r="G17" s="32" t="s">
        <v>268</v>
      </c>
      <c r="H17" s="32" t="s">
        <v>269</v>
      </c>
      <c r="I17" s="32" t="s">
        <v>270</v>
      </c>
      <c r="J17" s="399"/>
      <c r="K17" s="377" t="s">
        <v>180</v>
      </c>
      <c r="L17" s="378"/>
    </row>
    <row r="18" spans="2:12" s="99" customFormat="1" ht="13.5">
      <c r="C18" s="104" t="s">
        <v>199</v>
      </c>
      <c r="D18" s="404">
        <f>10%</f>
        <v>0.1</v>
      </c>
      <c r="E18" s="404">
        <f>D18</f>
        <v>0.1</v>
      </c>
      <c r="F18" s="404">
        <f>E18</f>
        <v>0.1</v>
      </c>
      <c r="G18" s="404">
        <f>F18</f>
        <v>0.1</v>
      </c>
      <c r="H18" s="404">
        <f>G18</f>
        <v>0.1</v>
      </c>
      <c r="I18" s="404">
        <f>H18</f>
        <v>0.1</v>
      </c>
      <c r="J18" s="389"/>
      <c r="K18" s="99" t="s">
        <v>200</v>
      </c>
      <c r="L18" s="378">
        <f>100/10</f>
        <v>10</v>
      </c>
    </row>
    <row r="19" spans="2:12" s="99" customFormat="1" ht="13.5">
      <c r="B19" s="390"/>
      <c r="C19" s="406" t="s">
        <v>201</v>
      </c>
      <c r="D19" s="404">
        <f t="shared" ref="D19:I19" si="2">$L19/360</f>
        <v>0.125</v>
      </c>
      <c r="E19" s="404">
        <f t="shared" si="2"/>
        <v>0.125</v>
      </c>
      <c r="F19" s="404">
        <f t="shared" si="2"/>
        <v>0.125</v>
      </c>
      <c r="G19" s="404">
        <f t="shared" si="2"/>
        <v>0.125</v>
      </c>
      <c r="H19" s="404">
        <f t="shared" si="2"/>
        <v>0.125</v>
      </c>
      <c r="I19" s="404">
        <f t="shared" si="2"/>
        <v>0.125</v>
      </c>
      <c r="J19" s="389"/>
      <c r="K19" s="99" t="s">
        <v>202</v>
      </c>
      <c r="L19" s="378">
        <v>45</v>
      </c>
    </row>
    <row r="20" spans="2:12" s="99" customFormat="1" ht="13.5">
      <c r="C20" s="104" t="s">
        <v>203</v>
      </c>
      <c r="D20" s="402" t="s">
        <v>183</v>
      </c>
      <c r="E20" s="402">
        <v>150000</v>
      </c>
      <c r="F20" s="402">
        <v>80000</v>
      </c>
      <c r="G20" s="402">
        <v>40000</v>
      </c>
      <c r="H20" s="402">
        <v>45000</v>
      </c>
      <c r="I20" s="402">
        <v>50000</v>
      </c>
      <c r="J20" s="382"/>
      <c r="K20" s="99" t="s">
        <v>204</v>
      </c>
      <c r="L20" s="378"/>
    </row>
  </sheetData>
  <pageMargins left="0.511811024" right="0.511811024" top="0.78740157499999996" bottom="0.78740157499999996" header="0.31496062000000002" footer="0.3149606200000000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A0344-D239-473F-9171-3D560CAF7B3E}">
  <sheetPr codeName="Sheet144">
    <pageSetUpPr fitToPage="1"/>
  </sheetPr>
  <dimension ref="A1:R37"/>
  <sheetViews>
    <sheetView showGridLines="0" topLeftCell="A27" zoomScale="150" zoomScaleNormal="150" zoomScalePageLayoutView="125" workbookViewId="0">
      <selection activeCell="I34" sqref="I34"/>
    </sheetView>
  </sheetViews>
  <sheetFormatPr defaultColWidth="7.75" defaultRowHeight="12.75" customHeight="1"/>
  <cols>
    <col min="1" max="3" width="2.625" style="357" customWidth="1"/>
    <col min="4" max="4" width="33.125" style="357" customWidth="1"/>
    <col min="5" max="5" width="9.125" style="363" customWidth="1"/>
    <col min="6" max="7" width="2.625" style="357" customWidth="1"/>
    <col min="8" max="8" width="33.125" style="357" customWidth="1"/>
    <col min="9" max="9" width="9.125" style="363" customWidth="1"/>
    <col min="10" max="10" width="6" style="363" customWidth="1"/>
    <col min="11" max="11" width="10.375" style="479" customWidth="1"/>
    <col min="12" max="12" width="28.625" style="357" customWidth="1"/>
    <col min="13" max="16384" width="7.75" style="357"/>
  </cols>
  <sheetData>
    <row r="1" spans="1:18" s="202" customFormat="1" ht="12.75" customHeight="1">
      <c r="E1" s="34"/>
      <c r="I1" s="34"/>
      <c r="J1" s="34"/>
    </row>
    <row r="2" spans="1:18" s="98" customFormat="1" ht="12.75" customHeight="1">
      <c r="B2" s="38"/>
      <c r="C2" s="38"/>
      <c r="D2" s="38"/>
      <c r="E2" s="36"/>
      <c r="G2" s="38"/>
      <c r="H2" s="38"/>
      <c r="I2" s="36"/>
      <c r="J2" s="36"/>
      <c r="K2" s="38"/>
      <c r="L2" s="38"/>
      <c r="M2" s="38"/>
      <c r="P2" s="383"/>
      <c r="R2" s="99"/>
    </row>
    <row r="3" spans="1:18" s="99" customFormat="1" ht="12.75" customHeight="1">
      <c r="B3" s="398" t="s">
        <v>275</v>
      </c>
      <c r="C3" s="398"/>
      <c r="D3" s="398"/>
      <c r="E3" s="427">
        <v>2017</v>
      </c>
      <c r="G3" s="398" t="s">
        <v>221</v>
      </c>
      <c r="H3" s="398"/>
      <c r="I3" s="427">
        <f t="shared" ref="I3:I9" si="0">E18</f>
        <v>2017</v>
      </c>
      <c r="J3" s="427"/>
      <c r="K3" s="399"/>
      <c r="L3" s="399"/>
      <c r="M3" s="399"/>
      <c r="N3" s="399"/>
      <c r="O3" s="398"/>
      <c r="P3" s="378"/>
    </row>
    <row r="4" spans="1:18" s="99" customFormat="1" ht="12.75" customHeight="1">
      <c r="C4" s="99" t="s">
        <v>120</v>
      </c>
      <c r="E4" s="208">
        <v>330000</v>
      </c>
      <c r="H4" s="99" t="s">
        <v>28</v>
      </c>
      <c r="I4" s="208">
        <f t="shared" si="0"/>
        <v>50000</v>
      </c>
      <c r="J4" s="487"/>
      <c r="K4" s="379"/>
      <c r="L4" s="379">
        <v>398475</v>
      </c>
      <c r="M4" s="379" t="s">
        <v>286</v>
      </c>
      <c r="N4" s="379"/>
      <c r="P4" s="378"/>
    </row>
    <row r="5" spans="1:18" s="98" customFormat="1" ht="12.75" customHeight="1">
      <c r="D5" s="98" t="s">
        <v>205</v>
      </c>
      <c r="E5" s="206">
        <f>-E4+E6</f>
        <v>-262020</v>
      </c>
      <c r="G5" s="357"/>
      <c r="H5" s="98" t="s">
        <v>222</v>
      </c>
      <c r="I5" s="206">
        <f t="shared" si="0"/>
        <v>66000</v>
      </c>
      <c r="J5" s="488"/>
      <c r="K5" s="382"/>
      <c r="L5" s="382"/>
      <c r="M5" s="382"/>
      <c r="N5" s="382"/>
      <c r="P5" s="383"/>
    </row>
    <row r="6" spans="1:18" s="98" customFormat="1" ht="12.75" customHeight="1">
      <c r="C6" s="99" t="s">
        <v>15</v>
      </c>
      <c r="D6" s="99"/>
      <c r="E6" s="208">
        <f>E7*E4</f>
        <v>67980</v>
      </c>
      <c r="G6" s="357"/>
      <c r="H6" s="98" t="s">
        <v>223</v>
      </c>
      <c r="I6" s="206">
        <f t="shared" si="0"/>
        <v>-6600</v>
      </c>
      <c r="J6" s="488"/>
      <c r="K6" s="379"/>
      <c r="L6" s="379"/>
      <c r="M6" s="379"/>
      <c r="N6" s="379"/>
      <c r="P6" s="383"/>
    </row>
    <row r="7" spans="1:18" s="358" customFormat="1" ht="12.75" customHeight="1">
      <c r="A7" s="419"/>
      <c r="B7" s="419"/>
      <c r="C7" s="419" t="s">
        <v>206</v>
      </c>
      <c r="D7" s="419"/>
      <c r="E7" s="370">
        <v>0.20599999999999999</v>
      </c>
      <c r="G7" s="356"/>
      <c r="H7" s="99" t="s">
        <v>224</v>
      </c>
      <c r="I7" s="208">
        <f t="shared" si="0"/>
        <v>59400</v>
      </c>
      <c r="J7" s="487"/>
      <c r="K7" s="409"/>
      <c r="L7" s="409" t="s">
        <v>277</v>
      </c>
      <c r="M7" s="409"/>
      <c r="N7" s="409"/>
      <c r="P7" s="410"/>
    </row>
    <row r="8" spans="1:18" s="98" customFormat="1" ht="12.75" customHeight="1">
      <c r="D8" s="98" t="s">
        <v>207</v>
      </c>
      <c r="E8" s="206">
        <f>-10%*E20</f>
        <v>-6600</v>
      </c>
      <c r="G8" s="356"/>
      <c r="H8" s="99" t="s">
        <v>281</v>
      </c>
      <c r="I8" s="208">
        <f t="shared" si="0"/>
        <v>0</v>
      </c>
      <c r="J8" s="487"/>
      <c r="K8" s="382"/>
      <c r="L8" s="382" t="s">
        <v>287</v>
      </c>
      <c r="M8" s="382"/>
      <c r="N8" s="382"/>
      <c r="P8" s="383"/>
    </row>
    <row r="9" spans="1:18" s="98" customFormat="1" ht="12.75" customHeight="1">
      <c r="D9" s="98" t="s">
        <v>208</v>
      </c>
      <c r="E9" s="206">
        <f>-3%*E4</f>
        <v>-9900</v>
      </c>
      <c r="G9" s="356"/>
      <c r="H9" s="99" t="s">
        <v>225</v>
      </c>
      <c r="I9" s="208">
        <f t="shared" si="0"/>
        <v>109400</v>
      </c>
      <c r="J9" s="487"/>
      <c r="K9" s="382"/>
      <c r="L9" s="382" t="s">
        <v>288</v>
      </c>
      <c r="M9" s="382" t="s">
        <v>289</v>
      </c>
      <c r="N9" s="382"/>
      <c r="P9" s="383"/>
    </row>
    <row r="10" spans="1:18" s="98" customFormat="1" ht="12.75" customHeight="1">
      <c r="D10" s="98" t="s">
        <v>209</v>
      </c>
      <c r="E10" s="206">
        <v>-40000</v>
      </c>
      <c r="G10" s="356"/>
      <c r="H10" s="356"/>
      <c r="I10" s="364"/>
      <c r="J10" s="364"/>
      <c r="K10" s="411">
        <v>-40000</v>
      </c>
      <c r="L10" s="411" t="s">
        <v>278</v>
      </c>
      <c r="M10" s="411" t="s">
        <v>279</v>
      </c>
      <c r="N10" s="411"/>
      <c r="P10" s="383"/>
    </row>
    <row r="11" spans="1:18" s="99" customFormat="1" ht="12.75" customHeight="1">
      <c r="C11" s="99" t="s">
        <v>210</v>
      </c>
      <c r="E11" s="208">
        <f>E6+E8+E9+E10</f>
        <v>11480</v>
      </c>
      <c r="G11" s="398" t="s">
        <v>226</v>
      </c>
      <c r="H11" s="398"/>
      <c r="I11" s="427">
        <f>E26</f>
        <v>2017</v>
      </c>
      <c r="J11" s="427"/>
      <c r="K11" s="379"/>
      <c r="L11" s="379"/>
      <c r="M11" s="379"/>
      <c r="N11" s="379"/>
      <c r="P11" s="378"/>
    </row>
    <row r="12" spans="1:18" s="99" customFormat="1" ht="12.75" customHeight="1">
      <c r="C12" s="99" t="s">
        <v>211</v>
      </c>
      <c r="E12" s="208">
        <f t="shared" ref="E12" si="1">E11-E8</f>
        <v>18080</v>
      </c>
      <c r="G12" s="356"/>
      <c r="H12" s="99" t="s">
        <v>227</v>
      </c>
      <c r="I12" s="208">
        <f>E27</f>
        <v>0</v>
      </c>
      <c r="J12" s="487"/>
      <c r="K12" s="379"/>
      <c r="L12" s="379"/>
      <c r="M12" s="379"/>
      <c r="N12" s="379"/>
      <c r="P12" s="378"/>
    </row>
    <row r="13" spans="1:18" s="408" customFormat="1" ht="12.75" customHeight="1">
      <c r="A13" s="419"/>
      <c r="B13" s="419"/>
      <c r="C13" s="419" t="s">
        <v>212</v>
      </c>
      <c r="D13" s="419"/>
      <c r="E13" s="370">
        <f>E12/E4</f>
        <v>5.4787878787878788E-2</v>
      </c>
      <c r="G13" s="357"/>
      <c r="H13" s="98" t="s">
        <v>228</v>
      </c>
      <c r="I13" s="102">
        <f>E28</f>
        <v>0</v>
      </c>
      <c r="J13" s="489"/>
      <c r="K13" s="479"/>
      <c r="L13" s="479"/>
      <c r="M13" s="479"/>
      <c r="N13" s="479"/>
      <c r="P13" s="412"/>
    </row>
    <row r="14" spans="1:18" s="98" customFormat="1" ht="12.75" customHeight="1">
      <c r="D14" s="98" t="s">
        <v>213</v>
      </c>
      <c r="E14" s="206">
        <f t="shared" ref="E14" si="2">-E11*34%</f>
        <v>-3903.2000000000003</v>
      </c>
      <c r="G14" s="356"/>
      <c r="H14" s="99" t="s">
        <v>30</v>
      </c>
      <c r="I14" s="208">
        <f>E29</f>
        <v>109400</v>
      </c>
      <c r="J14" s="487"/>
      <c r="K14" s="479"/>
      <c r="L14" s="479"/>
      <c r="M14" s="479"/>
      <c r="N14" s="479"/>
      <c r="P14" s="383"/>
    </row>
    <row r="15" spans="1:18" s="99" customFormat="1" ht="12.75" customHeight="1">
      <c r="C15" s="99" t="s">
        <v>214</v>
      </c>
      <c r="E15" s="208">
        <f t="shared" ref="E15" si="3">+E11+E14</f>
        <v>7576.7999999999993</v>
      </c>
      <c r="G15" s="356"/>
      <c r="H15" s="98" t="s">
        <v>229</v>
      </c>
      <c r="I15" s="102">
        <f>E30</f>
        <v>1</v>
      </c>
      <c r="J15" s="489"/>
      <c r="K15" s="479"/>
      <c r="L15" s="479"/>
      <c r="M15" s="479"/>
      <c r="N15" s="479"/>
      <c r="O15" s="98"/>
      <c r="P15" s="383"/>
      <c r="Q15" s="98"/>
    </row>
    <row r="16" spans="1:18" s="356" customFormat="1" ht="12.75" customHeight="1">
      <c r="E16" s="364"/>
      <c r="H16" s="99" t="s">
        <v>230</v>
      </c>
      <c r="I16" s="208">
        <f t="shared" ref="I16" si="4">E31</f>
        <v>109400</v>
      </c>
      <c r="J16" s="487"/>
      <c r="K16" s="479"/>
      <c r="L16" s="479"/>
      <c r="M16" s="479"/>
      <c r="N16" s="479"/>
    </row>
    <row r="17" spans="2:14" s="356" customFormat="1" ht="12.75" customHeight="1">
      <c r="E17" s="364"/>
      <c r="H17" s="99"/>
      <c r="I17" s="415"/>
      <c r="J17" s="415"/>
      <c r="K17" s="479"/>
      <c r="L17" s="479"/>
      <c r="M17" s="479"/>
      <c r="N17" s="479"/>
    </row>
    <row r="18" spans="2:14" s="356" customFormat="1" ht="12.75" customHeight="1">
      <c r="B18" s="398"/>
      <c r="C18" s="398" t="s">
        <v>221</v>
      </c>
      <c r="D18" s="398"/>
      <c r="E18" s="427">
        <f>E3</f>
        <v>2017</v>
      </c>
      <c r="I18" s="364"/>
      <c r="J18" s="364"/>
      <c r="K18" s="480"/>
    </row>
    <row r="19" spans="2:14" s="356" customFormat="1" ht="12.75" customHeight="1">
      <c r="C19" s="99"/>
      <c r="D19" s="99" t="s">
        <v>28</v>
      </c>
      <c r="E19" s="415">
        <v>50000</v>
      </c>
      <c r="I19" s="364"/>
      <c r="J19" s="364"/>
      <c r="K19" s="480"/>
    </row>
    <row r="20" spans="2:14" ht="12.75" customHeight="1">
      <c r="D20" s="98" t="s">
        <v>222</v>
      </c>
      <c r="E20" s="414">
        <v>66000</v>
      </c>
    </row>
    <row r="21" spans="2:14" ht="12.75" customHeight="1">
      <c r="D21" s="98" t="s">
        <v>223</v>
      </c>
      <c r="E21" s="416">
        <f>E8</f>
        <v>-6600</v>
      </c>
    </row>
    <row r="22" spans="2:14" s="356" customFormat="1" ht="12.75" customHeight="1">
      <c r="D22" s="99" t="s">
        <v>224</v>
      </c>
      <c r="E22" s="415">
        <f t="shared" ref="E22" si="5">+E20+E21</f>
        <v>59400</v>
      </c>
      <c r="I22" s="364"/>
      <c r="J22" s="364"/>
      <c r="K22" s="480"/>
    </row>
    <row r="23" spans="2:14" s="356" customFormat="1" ht="12.75" customHeight="1">
      <c r="D23" s="99" t="s">
        <v>281</v>
      </c>
      <c r="E23" s="415"/>
      <c r="I23" s="364"/>
      <c r="J23" s="364"/>
      <c r="K23" s="477">
        <f>K25-K24</f>
        <v>90600</v>
      </c>
      <c r="L23" s="357" t="s">
        <v>290</v>
      </c>
    </row>
    <row r="24" spans="2:14" s="356" customFormat="1" ht="12.75" customHeight="1">
      <c r="D24" s="99" t="s">
        <v>225</v>
      </c>
      <c r="E24" s="415">
        <f t="shared" ref="E24" si="6">+E19+E22</f>
        <v>109400</v>
      </c>
      <c r="I24" s="364"/>
      <c r="J24" s="364"/>
      <c r="K24" s="477">
        <f>E24</f>
        <v>109400</v>
      </c>
      <c r="L24" s="357" t="s">
        <v>291</v>
      </c>
    </row>
    <row r="25" spans="2:14" s="356" customFormat="1" ht="12.75" customHeight="1">
      <c r="E25" s="364"/>
      <c r="I25" s="364"/>
      <c r="J25" s="364"/>
      <c r="K25" s="477">
        <v>200000</v>
      </c>
      <c r="L25" s="357" t="s">
        <v>292</v>
      </c>
    </row>
    <row r="26" spans="2:14" s="356" customFormat="1" ht="12.75" customHeight="1">
      <c r="B26" s="398"/>
      <c r="C26" s="398" t="s">
        <v>226</v>
      </c>
      <c r="D26" s="398"/>
      <c r="E26" s="427">
        <f>+E18</f>
        <v>2017</v>
      </c>
      <c r="I26" s="364"/>
      <c r="J26" s="364"/>
      <c r="K26" s="480"/>
      <c r="L26" s="357" t="s">
        <v>282</v>
      </c>
    </row>
    <row r="27" spans="2:14" s="356" customFormat="1" ht="12.75" customHeight="1">
      <c r="D27" s="99" t="s">
        <v>227</v>
      </c>
      <c r="E27" s="415">
        <v>0</v>
      </c>
      <c r="I27" s="364"/>
      <c r="J27" s="364"/>
      <c r="K27" s="480"/>
    </row>
    <row r="28" spans="2:14" ht="12.75" customHeight="1">
      <c r="D28" s="98" t="s">
        <v>228</v>
      </c>
      <c r="E28" s="483">
        <f>E27/E31</f>
        <v>0</v>
      </c>
    </row>
    <row r="29" spans="2:14" s="356" customFormat="1" ht="12.75" customHeight="1">
      <c r="D29" s="99" t="s">
        <v>30</v>
      </c>
      <c r="E29" s="415">
        <f>E31</f>
        <v>109400</v>
      </c>
      <c r="I29" s="364"/>
      <c r="J29" s="364"/>
      <c r="K29" s="480"/>
    </row>
    <row r="30" spans="2:14" s="356" customFormat="1" ht="12.75" customHeight="1">
      <c r="D30" s="98" t="s">
        <v>229</v>
      </c>
      <c r="E30" s="483">
        <f>E29/E31</f>
        <v>1</v>
      </c>
      <c r="I30" s="364"/>
      <c r="J30" s="364"/>
      <c r="K30" s="480"/>
    </row>
    <row r="31" spans="2:14" s="356" customFormat="1" ht="12.75" customHeight="1">
      <c r="D31" s="99" t="s">
        <v>230</v>
      </c>
      <c r="E31" s="415">
        <f>E24</f>
        <v>109400</v>
      </c>
      <c r="I31" s="364"/>
      <c r="J31" s="364"/>
      <c r="K31" s="480"/>
    </row>
    <row r="32" spans="2:14" s="356" customFormat="1" ht="12.75" customHeight="1">
      <c r="E32" s="364"/>
      <c r="I32" s="364"/>
      <c r="J32" s="364"/>
      <c r="K32" s="480"/>
    </row>
    <row r="33" spans="2:11" s="356" customFormat="1" ht="12.75" customHeight="1">
      <c r="B33" s="481" t="s">
        <v>283</v>
      </c>
      <c r="C33" s="481"/>
      <c r="D33" s="481"/>
      <c r="E33" s="484">
        <f>E18</f>
        <v>2017</v>
      </c>
      <c r="G33" s="481"/>
      <c r="H33" s="481"/>
      <c r="I33" s="484">
        <f>I3</f>
        <v>2017</v>
      </c>
      <c r="J33" s="364"/>
      <c r="K33" s="480"/>
    </row>
    <row r="34" spans="2:11" ht="12.75" customHeight="1">
      <c r="D34" s="357" t="s">
        <v>6</v>
      </c>
      <c r="E34" s="485">
        <f>E15/E24</f>
        <v>6.9257769652650819E-2</v>
      </c>
      <c r="H34" s="357" t="s">
        <v>6</v>
      </c>
      <c r="I34" s="485" t="e">
        <f>#REF!/I9</f>
        <v>#REF!</v>
      </c>
      <c r="J34" s="485"/>
      <c r="K34" s="482"/>
    </row>
    <row r="35" spans="2:11" ht="12.75" customHeight="1">
      <c r="D35" s="357" t="s">
        <v>284</v>
      </c>
      <c r="E35" s="486">
        <f>E4/E24</f>
        <v>3.0164533820840949</v>
      </c>
      <c r="H35" s="357" t="s">
        <v>284</v>
      </c>
      <c r="I35" s="486" t="e">
        <f>#REF!/I9</f>
        <v>#REF!</v>
      </c>
      <c r="J35" s="486"/>
      <c r="K35" s="478"/>
    </row>
    <row r="36" spans="2:11" ht="12.75" customHeight="1">
      <c r="D36" s="357" t="s">
        <v>87</v>
      </c>
      <c r="E36" s="485">
        <f>E12/E4</f>
        <v>5.4787878787878788E-2</v>
      </c>
      <c r="H36" s="357" t="s">
        <v>87</v>
      </c>
      <c r="I36" s="485" t="e">
        <f>#REF!/#REF!</f>
        <v>#REF!</v>
      </c>
      <c r="J36" s="485"/>
    </row>
    <row r="37" spans="2:11" ht="12.75" customHeight="1">
      <c r="D37" s="357" t="s">
        <v>113</v>
      </c>
      <c r="E37" s="485">
        <f>E15/E4</f>
        <v>2.2959999999999998E-2</v>
      </c>
      <c r="H37" s="357" t="s">
        <v>113</v>
      </c>
      <c r="I37" s="485" t="e">
        <f>#REF!/#REF!</f>
        <v>#REF!</v>
      </c>
      <c r="J37" s="485"/>
    </row>
  </sheetData>
  <printOptions horizontalCentered="1"/>
  <pageMargins left="0.79000000000000015" right="0.79000000000000015" top="0.98" bottom="0.98" header="0.51" footer="0.51"/>
  <pageSetup scale="54" fitToHeight="2" orientation="landscape" horizontalDpi="300" verticalDpi="300" r:id="rId1"/>
  <headerFooter>
    <oddFooter>&amp;R&amp;7MRAC_x000D_&amp;D - &amp;T_x000D_&amp;F - &amp;A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06F1C-3779-4ABE-B2FC-D465BBE8BC44}">
  <sheetPr codeName="Sheet145"/>
  <dimension ref="B1:P21"/>
  <sheetViews>
    <sheetView showGridLines="0" zoomScale="180" zoomScaleNormal="180" workbookViewId="0"/>
  </sheetViews>
  <sheetFormatPr defaultColWidth="9" defaultRowHeight="13.5"/>
  <cols>
    <col min="1" max="3" width="2.625" style="202" customWidth="1"/>
    <col min="4" max="4" width="33.125" style="202" customWidth="1"/>
    <col min="5" max="5" width="9.125" style="33" bestFit="1" customWidth="1"/>
    <col min="6" max="6" width="9.625" style="33" bestFit="1" customWidth="1"/>
    <col min="7" max="10" width="10.5" style="33" bestFit="1" customWidth="1"/>
    <col min="11" max="11" width="9" style="202"/>
    <col min="12" max="13" width="9.125" style="202" bestFit="1" customWidth="1"/>
    <col min="14" max="16384" width="9" style="202"/>
  </cols>
  <sheetData>
    <row r="1" spans="2:16" ht="12.75" customHeight="1">
      <c r="E1" s="33" t="s">
        <v>273</v>
      </c>
      <c r="F1" s="33" t="s">
        <v>274</v>
      </c>
    </row>
    <row r="2" spans="2:16" s="98" customFormat="1" ht="12.75" customHeight="1">
      <c r="B2" s="38"/>
      <c r="C2" s="38"/>
      <c r="D2" s="38"/>
      <c r="E2" s="38"/>
      <c r="F2" s="38"/>
      <c r="G2" s="38"/>
      <c r="H2" s="38"/>
      <c r="I2" s="38"/>
      <c r="J2" s="38"/>
      <c r="L2" s="383"/>
      <c r="N2" s="99"/>
    </row>
    <row r="3" spans="2:16" s="99" customFormat="1" ht="12.75" customHeight="1">
      <c r="B3" s="398" t="s">
        <v>275</v>
      </c>
      <c r="C3" s="398"/>
      <c r="D3" s="398"/>
      <c r="E3" s="32">
        <v>2019</v>
      </c>
      <c r="F3" s="32" t="s">
        <v>266</v>
      </c>
      <c r="G3" s="32" t="s">
        <v>267</v>
      </c>
      <c r="H3" s="32" t="s">
        <v>268</v>
      </c>
      <c r="I3" s="32" t="s">
        <v>269</v>
      </c>
      <c r="J3" s="32" t="s">
        <v>270</v>
      </c>
      <c r="K3" s="398"/>
      <c r="L3" s="378"/>
    </row>
    <row r="4" spans="2:16" s="98" customFormat="1" ht="12.75" customHeight="1">
      <c r="C4" s="98" t="s">
        <v>186</v>
      </c>
      <c r="E4" s="206">
        <f>'Cap 10 Vegas 6'!D8</f>
        <v>750000</v>
      </c>
      <c r="F4" s="206">
        <f>'Cap 10 Vegas 6'!E8</f>
        <v>948750</v>
      </c>
      <c r="G4" s="206">
        <f>'Cap 10 Vegas 6'!F8</f>
        <v>1821600.0000000002</v>
      </c>
      <c r="H4" s="206">
        <f>'Cap 10 Vegas 6'!G8</f>
        <v>2125200.0000000005</v>
      </c>
      <c r="I4" s="206">
        <f>'Cap 10 Vegas 6'!H8</f>
        <v>2119887.0000000005</v>
      </c>
      <c r="J4" s="206">
        <f>'Cap 10 Vegas 6'!I8</f>
        <v>2119887.0000000005</v>
      </c>
      <c r="L4" s="407"/>
      <c r="M4" s="407"/>
      <c r="N4" s="407"/>
      <c r="O4" s="407"/>
      <c r="P4" s="407"/>
    </row>
    <row r="5" spans="2:16" s="99" customFormat="1" ht="12.75" customHeight="1">
      <c r="C5" s="99" t="s">
        <v>120</v>
      </c>
      <c r="E5" s="208">
        <f>E4*(1-'Cap 10 Vegas 6'!D9)</f>
        <v>656250</v>
      </c>
      <c r="F5" s="208">
        <f>F4*(1-'Cap 10 Vegas 6'!E9)</f>
        <v>830156.25</v>
      </c>
      <c r="G5" s="208">
        <f>G4*(1-'Cap 10 Vegas 6'!F9)</f>
        <v>1593900.0000000002</v>
      </c>
      <c r="H5" s="208">
        <f>H4*(1-'Cap 10 Vegas 6'!G9)</f>
        <v>1859550.0000000005</v>
      </c>
      <c r="I5" s="208">
        <f>I4*(1-'Cap 10 Vegas 6'!H9)</f>
        <v>1854901.1250000005</v>
      </c>
      <c r="J5" s="208">
        <f>J4*(1-'Cap 10 Vegas 6'!I9)</f>
        <v>1854901.1250000005</v>
      </c>
      <c r="L5" s="378">
        <v>300000</v>
      </c>
      <c r="M5" s="99">
        <v>398475</v>
      </c>
      <c r="N5" s="99" t="s">
        <v>276</v>
      </c>
    </row>
    <row r="6" spans="2:16" s="98" customFormat="1" ht="12.75" customHeight="1">
      <c r="D6" s="98" t="s">
        <v>205</v>
      </c>
      <c r="E6" s="206">
        <f>'Cap 10 Vegas 6'!D11*'Cap 10 Vegas 6'!D3*'Cap 10 Vegas 6'!D5</f>
        <v>500000</v>
      </c>
      <c r="F6" s="206">
        <f>'Cap 10 Vegas 6'!E11*'Cap 10 Vegas 6'!E3*'Cap 10 Vegas 6'!E5</f>
        <v>718750</v>
      </c>
      <c r="G6" s="206">
        <f>'Cap 10 Vegas 6'!F11*'Cap 10 Vegas 6'!F3*'Cap 10 Vegas 6'!F5</f>
        <v>1265000.0000000002</v>
      </c>
      <c r="H6" s="206">
        <f>'Cap 10 Vegas 6'!G11*'Cap 10 Vegas 6'!G3*'Cap 10 Vegas 6'!G5</f>
        <v>1328250.0000000002</v>
      </c>
      <c r="I6" s="206">
        <f>'Cap 10 Vegas 6'!H11*'Cap 10 Vegas 6'!H3*'Cap 10 Vegas 6'!H5</f>
        <v>1394662.5000000002</v>
      </c>
      <c r="J6" s="206">
        <f>'Cap 10 Vegas 6'!I11*'Cap 10 Vegas 6'!I3*'Cap 10 Vegas 6'!I5</f>
        <v>1394662.5000000002</v>
      </c>
      <c r="L6" s="383"/>
    </row>
    <row r="7" spans="2:16" s="98" customFormat="1" ht="12.75" customHeight="1">
      <c r="C7" s="99" t="s">
        <v>15</v>
      </c>
      <c r="D7" s="99"/>
      <c r="E7" s="208">
        <f t="shared" ref="E7:J7" si="0">E5-E6</f>
        <v>156250</v>
      </c>
      <c r="F7" s="208">
        <f t="shared" si="0"/>
        <v>111406.25</v>
      </c>
      <c r="G7" s="208">
        <f t="shared" si="0"/>
        <v>328900</v>
      </c>
      <c r="H7" s="208">
        <f t="shared" si="0"/>
        <v>531300.00000000023</v>
      </c>
      <c r="I7" s="208">
        <f t="shared" si="0"/>
        <v>460238.62500000023</v>
      </c>
      <c r="J7" s="208">
        <f t="shared" si="0"/>
        <v>460238.62500000023</v>
      </c>
      <c r="L7" s="383">
        <f>L8*L5</f>
        <v>61904.761904761894</v>
      </c>
    </row>
    <row r="8" spans="2:16" s="490" customFormat="1" ht="12.75" customHeight="1">
      <c r="C8" s="491" t="s">
        <v>206</v>
      </c>
      <c r="D8" s="491"/>
      <c r="E8" s="370">
        <f t="shared" ref="E8:J8" si="1">E7/E5</f>
        <v>0.23809523809523808</v>
      </c>
      <c r="F8" s="370">
        <f t="shared" si="1"/>
        <v>0.13419913419913421</v>
      </c>
      <c r="G8" s="370">
        <f t="shared" si="1"/>
        <v>0.20634920634920631</v>
      </c>
      <c r="H8" s="370">
        <f t="shared" si="1"/>
        <v>0.28571428571428575</v>
      </c>
      <c r="I8" s="370">
        <f t="shared" si="1"/>
        <v>0.24812030075187977</v>
      </c>
      <c r="J8" s="370">
        <f t="shared" si="1"/>
        <v>0.24812030075187977</v>
      </c>
      <c r="L8" s="492">
        <f>G8</f>
        <v>0.20634920634920631</v>
      </c>
      <c r="M8" s="490" t="s">
        <v>277</v>
      </c>
    </row>
    <row r="9" spans="2:16" s="98" customFormat="1" ht="12.75" customHeight="1">
      <c r="D9" s="98" t="s">
        <v>207</v>
      </c>
      <c r="E9" s="206">
        <f>-'Cap 10 Vegas 9'!D4</f>
        <v>-20000</v>
      </c>
      <c r="F9" s="206">
        <f>-'Cap 10 Vegas 9'!E4</f>
        <v>-35000</v>
      </c>
      <c r="G9" s="206">
        <f>-'Cap 10 Vegas 9'!F4</f>
        <v>-49600</v>
      </c>
      <c r="H9" s="206">
        <f>-'Cap 10 Vegas 9'!G4</f>
        <v>-53600</v>
      </c>
      <c r="I9" s="206">
        <f>-'Cap 10 Vegas 9'!H4</f>
        <v>-58100</v>
      </c>
      <c r="J9" s="206">
        <f>-'Cap 10 Vegas 9'!I4</f>
        <v>-63100</v>
      </c>
      <c r="L9" s="383">
        <v>-6600</v>
      </c>
    </row>
    <row r="10" spans="2:16" s="98" customFormat="1" ht="12.75" customHeight="1">
      <c r="D10" s="98" t="s">
        <v>208</v>
      </c>
      <c r="E10" s="206">
        <f>-E5*'Cap 10 Vegas 6'!D13</f>
        <v>-32812.5</v>
      </c>
      <c r="F10" s="206">
        <f>-F5*'Cap 10 Vegas 6'!E13</f>
        <v>-41507.8125</v>
      </c>
      <c r="G10" s="206">
        <f>-G5*'Cap 10 Vegas 6'!F13</f>
        <v>-79695.000000000015</v>
      </c>
      <c r="H10" s="206">
        <f>-H5*'Cap 10 Vegas 6'!G13</f>
        <v>-92977.500000000029</v>
      </c>
      <c r="I10" s="206">
        <f>-I5*'Cap 10 Vegas 6'!H13</f>
        <v>-92745.056250000023</v>
      </c>
      <c r="J10" s="206">
        <f>-J5*'Cap 10 Vegas 6'!I13</f>
        <v>-92745.056250000023</v>
      </c>
      <c r="L10" s="383">
        <v>-19923.75</v>
      </c>
    </row>
    <row r="11" spans="2:16" s="98" customFormat="1" ht="12.75" customHeight="1">
      <c r="D11" s="98" t="s">
        <v>209</v>
      </c>
      <c r="E11" s="206">
        <v>-80000</v>
      </c>
      <c r="F11" s="206">
        <f>E11*(1+'Cap 10 Vegas 6'!E14)</f>
        <v>-100000</v>
      </c>
      <c r="G11" s="206">
        <f>F11*(1+'Cap 10 Vegas 6'!F14)</f>
        <v>-150000</v>
      </c>
      <c r="H11" s="206">
        <f>G11*(1+'Cap 10 Vegas 6'!G14)</f>
        <v>-157500</v>
      </c>
      <c r="I11" s="206">
        <f>H11*(1+'Cap 10 Vegas 6'!H14)</f>
        <v>-165375</v>
      </c>
      <c r="J11" s="206">
        <f>I11*(1+'Cap 10 Vegas 6'!I14)</f>
        <v>-165375</v>
      </c>
      <c r="L11" s="383">
        <v>-40000</v>
      </c>
      <c r="M11" s="98" t="s">
        <v>278</v>
      </c>
      <c r="N11" s="98" t="s">
        <v>279</v>
      </c>
    </row>
    <row r="12" spans="2:16" s="99" customFormat="1" ht="12.75" customHeight="1">
      <c r="C12" s="99" t="s">
        <v>210</v>
      </c>
      <c r="E12" s="208">
        <f t="shared" ref="E12:J12" si="2">E7+E9+E10+E11</f>
        <v>23437.5</v>
      </c>
      <c r="F12" s="208">
        <f t="shared" si="2"/>
        <v>-65101.5625</v>
      </c>
      <c r="G12" s="208">
        <f t="shared" si="2"/>
        <v>49605</v>
      </c>
      <c r="H12" s="208">
        <f t="shared" si="2"/>
        <v>227222.50000000023</v>
      </c>
      <c r="I12" s="208">
        <f t="shared" si="2"/>
        <v>144018.56875000021</v>
      </c>
      <c r="J12" s="208">
        <f t="shared" si="2"/>
        <v>139018.56875000021</v>
      </c>
      <c r="L12" s="378">
        <v>15701.249999999884</v>
      </c>
    </row>
    <row r="13" spans="2:16" s="99" customFormat="1" ht="12.75" customHeight="1">
      <c r="C13" s="99" t="s">
        <v>211</v>
      </c>
      <c r="E13" s="208">
        <f t="shared" ref="E13:J13" si="3">E12-E9</f>
        <v>43437.5</v>
      </c>
      <c r="F13" s="208">
        <f t="shared" si="3"/>
        <v>-30101.5625</v>
      </c>
      <c r="G13" s="208">
        <f t="shared" si="3"/>
        <v>99205</v>
      </c>
      <c r="H13" s="208">
        <f t="shared" si="3"/>
        <v>280822.50000000023</v>
      </c>
      <c r="I13" s="208">
        <f t="shared" si="3"/>
        <v>202118.56875000021</v>
      </c>
      <c r="J13" s="208">
        <f t="shared" si="3"/>
        <v>202118.56875000021</v>
      </c>
      <c r="L13" s="378">
        <v>22301.249999999884</v>
      </c>
    </row>
    <row r="14" spans="2:16" s="490" customFormat="1" ht="12.75" customHeight="1">
      <c r="C14" s="491" t="s">
        <v>212</v>
      </c>
      <c r="D14" s="491"/>
      <c r="E14" s="370">
        <f t="shared" ref="E14:J14" si="4">E13/E5</f>
        <v>6.6190476190476188E-2</v>
      </c>
      <c r="F14" s="370">
        <f t="shared" si="4"/>
        <v>-3.6260116694899307E-2</v>
      </c>
      <c r="G14" s="370">
        <f t="shared" si="4"/>
        <v>6.2240416588242663E-2</v>
      </c>
      <c r="H14" s="370">
        <f t="shared" si="4"/>
        <v>0.1510163749294185</v>
      </c>
      <c r="I14" s="370">
        <f t="shared" si="4"/>
        <v>0.10896460518886157</v>
      </c>
      <c r="J14" s="370">
        <f t="shared" si="4"/>
        <v>0.10896460518886157</v>
      </c>
      <c r="L14" s="492">
        <f>L13/L5</f>
        <v>7.4337499999999612E-2</v>
      </c>
    </row>
    <row r="15" spans="2:16" s="98" customFormat="1" ht="12.75" customHeight="1">
      <c r="D15" s="98" t="s">
        <v>213</v>
      </c>
      <c r="E15" s="206">
        <f t="shared" ref="E15:J15" si="5">-E12*34%</f>
        <v>-7968.7500000000009</v>
      </c>
      <c r="F15" s="206">
        <f t="shared" si="5"/>
        <v>22134.53125</v>
      </c>
      <c r="G15" s="206">
        <f t="shared" si="5"/>
        <v>-16865.7</v>
      </c>
      <c r="H15" s="206">
        <f t="shared" si="5"/>
        <v>-77255.650000000081</v>
      </c>
      <c r="I15" s="206">
        <f t="shared" si="5"/>
        <v>-48966.313375000078</v>
      </c>
      <c r="J15" s="206">
        <f t="shared" si="5"/>
        <v>-47266.313375000078</v>
      </c>
      <c r="L15" s="383">
        <f>-L12*34%</f>
        <v>-5338.4249999999611</v>
      </c>
    </row>
    <row r="16" spans="2:16" s="99" customFormat="1" ht="12.75" customHeight="1">
      <c r="C16" s="99" t="s">
        <v>214</v>
      </c>
      <c r="E16" s="208">
        <f t="shared" ref="E16:J16" si="6">+E12+E15</f>
        <v>15468.75</v>
      </c>
      <c r="F16" s="208">
        <f t="shared" si="6"/>
        <v>-42967.03125</v>
      </c>
      <c r="G16" s="208">
        <f t="shared" si="6"/>
        <v>32739.3</v>
      </c>
      <c r="H16" s="208">
        <f t="shared" si="6"/>
        <v>149966.85000000015</v>
      </c>
      <c r="I16" s="208">
        <f t="shared" si="6"/>
        <v>95052.255375000124</v>
      </c>
      <c r="J16" s="208">
        <f t="shared" si="6"/>
        <v>91752.255375000124</v>
      </c>
      <c r="K16" s="98"/>
      <c r="L16" s="383">
        <f>+L12+L15</f>
        <v>10362.824999999923</v>
      </c>
      <c r="M16" s="98"/>
    </row>
    <row r="17" spans="2:13" s="99" customFormat="1" ht="12.75" customHeight="1">
      <c r="E17" s="417"/>
      <c r="F17" s="417"/>
      <c r="G17" s="417"/>
      <c r="H17" s="417"/>
      <c r="I17" s="417"/>
      <c r="J17" s="417"/>
      <c r="K17" s="98"/>
      <c r="L17" s="383"/>
      <c r="M17" s="98"/>
    </row>
    <row r="18" spans="2:13" s="99" customFormat="1" ht="12.75" customHeight="1">
      <c r="C18" s="99" t="s">
        <v>50</v>
      </c>
      <c r="D18" s="98"/>
      <c r="E18" s="206">
        <v>-11512.000000000007</v>
      </c>
      <c r="F18" s="206">
        <v>-19309.436884648494</v>
      </c>
      <c r="G18" s="206">
        <v>-24020.872689102722</v>
      </c>
      <c r="H18" s="206">
        <v>-25041.417340638898</v>
      </c>
      <c r="I18" s="206">
        <v>-24646.083644731305</v>
      </c>
      <c r="J18" s="206">
        <v>-24275.591826039403</v>
      </c>
      <c r="K18" s="98"/>
      <c r="L18" s="383"/>
      <c r="M18" s="98"/>
    </row>
    <row r="19" spans="2:13" s="99" customFormat="1" ht="12.75" customHeight="1">
      <c r="C19" s="99" t="s">
        <v>25</v>
      </c>
      <c r="E19" s="208">
        <f t="shared" ref="E19:J19" si="7">E12+E18</f>
        <v>11925.499999999993</v>
      </c>
      <c r="F19" s="208">
        <f t="shared" si="7"/>
        <v>-84410.999384648487</v>
      </c>
      <c r="G19" s="208">
        <f t="shared" si="7"/>
        <v>25584.127310897278</v>
      </c>
      <c r="H19" s="208">
        <f t="shared" si="7"/>
        <v>202181.08265936133</v>
      </c>
      <c r="I19" s="208">
        <f t="shared" si="7"/>
        <v>119372.4851052689</v>
      </c>
      <c r="J19" s="208">
        <f t="shared" si="7"/>
        <v>114742.97692396081</v>
      </c>
      <c r="K19" s="98"/>
      <c r="L19" s="383"/>
      <c r="M19" s="98"/>
    </row>
    <row r="20" spans="2:13" s="99" customFormat="1" ht="12.75" customHeight="1">
      <c r="B20" s="98"/>
      <c r="C20" s="98" t="s">
        <v>215</v>
      </c>
      <c r="D20" s="98"/>
      <c r="E20" s="206">
        <f t="shared" ref="E20:J20" si="8">E19*-34%</f>
        <v>-4054.6699999999978</v>
      </c>
      <c r="F20" s="206">
        <f t="shared" si="8"/>
        <v>28699.739790780488</v>
      </c>
      <c r="G20" s="206">
        <f t="shared" si="8"/>
        <v>-8698.6032857050759</v>
      </c>
      <c r="H20" s="206">
        <f t="shared" si="8"/>
        <v>-68741.56810418285</v>
      </c>
      <c r="I20" s="206">
        <f t="shared" si="8"/>
        <v>-40586.644935791432</v>
      </c>
      <c r="J20" s="206">
        <f t="shared" si="8"/>
        <v>-39012.612154146678</v>
      </c>
      <c r="K20" s="98"/>
      <c r="L20" s="383"/>
      <c r="M20" s="98"/>
    </row>
    <row r="21" spans="2:13" s="99" customFormat="1" ht="12.75" customHeight="1">
      <c r="C21" s="99" t="s">
        <v>216</v>
      </c>
      <c r="E21" s="208">
        <f t="shared" ref="E21:J21" si="9">E19+E20</f>
        <v>7870.8299999999945</v>
      </c>
      <c r="F21" s="208">
        <f t="shared" si="9"/>
        <v>-55711.259593868002</v>
      </c>
      <c r="G21" s="208">
        <f t="shared" si="9"/>
        <v>16885.5240251922</v>
      </c>
      <c r="H21" s="208">
        <f t="shared" si="9"/>
        <v>133439.51455517847</v>
      </c>
      <c r="I21" s="208">
        <f t="shared" si="9"/>
        <v>78785.84016947748</v>
      </c>
      <c r="J21" s="208">
        <f t="shared" si="9"/>
        <v>75730.364769814129</v>
      </c>
      <c r="K21" s="98"/>
      <c r="L21" s="383"/>
      <c r="M21" s="98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8023B-F236-4730-B9D7-590D92781EC7}">
  <sheetPr codeName="Sheet3"/>
  <dimension ref="A1:I24"/>
  <sheetViews>
    <sheetView showGridLines="0" topLeftCell="E1" zoomScale="140" zoomScaleNormal="140" workbookViewId="0">
      <selection activeCell="C9" sqref="C9"/>
    </sheetView>
  </sheetViews>
  <sheetFormatPr defaultColWidth="7.75" defaultRowHeight="13.5"/>
  <cols>
    <col min="1" max="1" width="2.375" style="10" customWidth="1"/>
    <col min="2" max="2" width="21.625" style="2" customWidth="1"/>
    <col min="3" max="3" width="7.5" style="3" customWidth="1"/>
    <col min="4" max="4" width="2.375" style="3" customWidth="1"/>
    <col min="5" max="5" width="6.375" style="4" bestFit="1" customWidth="1"/>
    <col min="6" max="6" width="28.625" style="2" customWidth="1"/>
    <col min="7" max="7" width="2.375" style="2" customWidth="1"/>
    <col min="8" max="8" width="32.125" style="2" bestFit="1" customWidth="1"/>
    <col min="9" max="9" width="7.5" style="4" customWidth="1"/>
    <col min="10" max="16384" width="7.75" style="2"/>
  </cols>
  <sheetData>
    <row r="1" spans="1:9" ht="21.75">
      <c r="A1" s="1" t="s">
        <v>0</v>
      </c>
    </row>
    <row r="3" spans="1:9" s="6" customFormat="1" ht="14.75">
      <c r="A3" s="5"/>
      <c r="B3" s="6" t="s">
        <v>415</v>
      </c>
      <c r="C3" s="8"/>
      <c r="D3" s="8"/>
      <c r="E3" s="9"/>
      <c r="I3" s="9"/>
    </row>
    <row r="4" spans="1:9" s="6" customFormat="1" ht="14.75">
      <c r="A4" s="5"/>
      <c r="C4" s="8"/>
      <c r="D4" s="8"/>
      <c r="E4" s="9"/>
      <c r="I4" s="9"/>
    </row>
    <row r="5" spans="1:9">
      <c r="B5" s="7" t="s">
        <v>1</v>
      </c>
    </row>
    <row r="6" spans="1:9">
      <c r="B6" s="588" t="s">
        <v>2</v>
      </c>
      <c r="C6" s="589"/>
      <c r="D6" s="11"/>
      <c r="E6" s="588" t="s">
        <v>3</v>
      </c>
      <c r="F6" s="589"/>
      <c r="G6" s="11"/>
      <c r="H6" s="588" t="s">
        <v>4</v>
      </c>
      <c r="I6" s="589"/>
    </row>
    <row r="7" spans="1:9">
      <c r="B7" s="12"/>
      <c r="C7" s="13"/>
      <c r="D7" s="13"/>
      <c r="E7" s="12"/>
      <c r="F7" s="12"/>
      <c r="G7" s="12"/>
    </row>
    <row r="8" spans="1:9">
      <c r="B8" s="2" t="s">
        <v>416</v>
      </c>
      <c r="C8" s="14">
        <f>C18/360*E8</f>
        <v>3.75</v>
      </c>
      <c r="D8" s="14"/>
      <c r="E8" s="4">
        <v>30</v>
      </c>
      <c r="F8" s="2" t="s">
        <v>417</v>
      </c>
      <c r="H8" s="2" t="s">
        <v>418</v>
      </c>
      <c r="I8" s="15">
        <f>I12/C15</f>
        <v>0.22275000000000006</v>
      </c>
    </row>
    <row r="9" spans="1:9">
      <c r="B9" s="2" t="s">
        <v>419</v>
      </c>
      <c r="C9" s="14">
        <f>C18/360*E9</f>
        <v>9.375</v>
      </c>
      <c r="D9" s="14"/>
      <c r="E9" s="4">
        <v>75</v>
      </c>
      <c r="F9" s="2" t="s">
        <v>417</v>
      </c>
      <c r="H9" s="2" t="s">
        <v>420</v>
      </c>
      <c r="I9" s="16">
        <v>0.15</v>
      </c>
    </row>
    <row r="10" spans="1:9">
      <c r="B10" s="2" t="s">
        <v>421</v>
      </c>
      <c r="C10" s="17">
        <f>C18/360*E10</f>
        <v>5.625</v>
      </c>
      <c r="D10" s="18"/>
      <c r="E10" s="4">
        <v>45</v>
      </c>
      <c r="F10" s="2" t="s">
        <v>417</v>
      </c>
      <c r="H10" s="10" t="s">
        <v>422</v>
      </c>
      <c r="I10" s="19">
        <f>I8-I9</f>
        <v>7.2750000000000065E-2</v>
      </c>
    </row>
    <row r="11" spans="1:9">
      <c r="B11" s="10" t="s">
        <v>8</v>
      </c>
      <c r="C11" s="20">
        <f>C8+C9-C10</f>
        <v>7.5</v>
      </c>
      <c r="D11" s="20"/>
    </row>
    <row r="12" spans="1:9">
      <c r="B12" s="2" t="s">
        <v>423</v>
      </c>
      <c r="C12" s="14">
        <f>E12*0.3</f>
        <v>7.5</v>
      </c>
      <c r="D12" s="14"/>
      <c r="E12" s="4">
        <v>25</v>
      </c>
      <c r="F12" s="2" t="s">
        <v>424</v>
      </c>
      <c r="H12" s="2" t="s">
        <v>425</v>
      </c>
      <c r="I12" s="18">
        <f>C23</f>
        <v>3.5640000000000009</v>
      </c>
    </row>
    <row r="13" spans="1:9">
      <c r="B13" s="2" t="s">
        <v>426</v>
      </c>
      <c r="C13" s="17">
        <v>1</v>
      </c>
      <c r="D13" s="18"/>
      <c r="F13" s="2" t="s">
        <v>427</v>
      </c>
      <c r="H13" s="2" t="s">
        <v>10</v>
      </c>
      <c r="I13" s="17">
        <f>I9*C15</f>
        <v>2.4</v>
      </c>
    </row>
    <row r="14" spans="1:9">
      <c r="B14" s="10" t="s">
        <v>11</v>
      </c>
      <c r="C14" s="21">
        <f>SUM(C12:C13)</f>
        <v>8.5</v>
      </c>
      <c r="D14" s="20"/>
      <c r="H14" s="10" t="s">
        <v>428</v>
      </c>
      <c r="I14" s="22">
        <f>I12-I13</f>
        <v>1.164000000000001</v>
      </c>
    </row>
    <row r="15" spans="1:9">
      <c r="B15" s="10" t="s">
        <v>12</v>
      </c>
      <c r="C15" s="22">
        <f>C14+C11</f>
        <v>16</v>
      </c>
      <c r="D15" s="22"/>
      <c r="E15" s="23"/>
      <c r="F15" s="24"/>
      <c r="G15" s="24"/>
    </row>
    <row r="16" spans="1:9">
      <c r="C16" s="25"/>
      <c r="D16" s="25"/>
    </row>
    <row r="17" spans="2:9">
      <c r="B17" s="10" t="s">
        <v>13</v>
      </c>
      <c r="C17" s="13"/>
      <c r="D17" s="13"/>
      <c r="I17" s="26"/>
    </row>
    <row r="18" spans="2:9">
      <c r="B18" s="2" t="s">
        <v>429</v>
      </c>
      <c r="C18" s="14">
        <f>25*150*12/1000</f>
        <v>45</v>
      </c>
      <c r="D18" s="14"/>
      <c r="E18" s="4">
        <v>25</v>
      </c>
      <c r="F18" s="2" t="s">
        <v>14</v>
      </c>
      <c r="I18" s="27"/>
    </row>
    <row r="19" spans="2:9">
      <c r="B19" s="2" t="s">
        <v>430</v>
      </c>
      <c r="C19" s="14">
        <f>C18*E19</f>
        <v>12.600000000000001</v>
      </c>
      <c r="D19" s="14"/>
      <c r="E19" s="15">
        <v>0.28000000000000003</v>
      </c>
      <c r="F19" s="2" t="s">
        <v>16</v>
      </c>
    </row>
    <row r="20" spans="2:9">
      <c r="B20" s="2" t="s">
        <v>431</v>
      </c>
      <c r="C20" s="17">
        <f>600*12/1000</f>
        <v>7.2</v>
      </c>
      <c r="D20" s="18"/>
      <c r="E20" s="28"/>
      <c r="F20" s="2" t="s">
        <v>17</v>
      </c>
    </row>
    <row r="21" spans="2:9">
      <c r="B21" s="10" t="s">
        <v>432</v>
      </c>
      <c r="C21" s="20">
        <f>C19-C20</f>
        <v>5.4000000000000012</v>
      </c>
      <c r="D21" s="20"/>
      <c r="E21" s="28"/>
      <c r="F21" s="2" t="s">
        <v>433</v>
      </c>
    </row>
    <row r="22" spans="2:9">
      <c r="B22" s="2" t="s">
        <v>434</v>
      </c>
      <c r="C22" s="14">
        <f>C21*34%</f>
        <v>1.8360000000000005</v>
      </c>
      <c r="D22" s="14"/>
      <c r="E22" s="15">
        <v>0.34</v>
      </c>
      <c r="F22" s="2" t="s">
        <v>18</v>
      </c>
    </row>
    <row r="23" spans="2:9" ht="14.25" thickBot="1">
      <c r="B23" s="10" t="s">
        <v>435</v>
      </c>
      <c r="C23" s="29">
        <f>+C21-C22</f>
        <v>3.5640000000000009</v>
      </c>
      <c r="D23" s="22"/>
      <c r="E23" s="30">
        <f>C23/C18</f>
        <v>7.920000000000002E-2</v>
      </c>
      <c r="F23" s="2" t="s">
        <v>436</v>
      </c>
    </row>
    <row r="24" spans="2:9" ht="14.25" thickTop="1"/>
  </sheetData>
  <mergeCells count="3">
    <mergeCell ref="B6:C6"/>
    <mergeCell ref="E6:F6"/>
    <mergeCell ref="H6:I6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31001-B282-44EB-ACBA-10CD652D4FD9}">
  <sheetPr codeName="Sheet146"/>
  <dimension ref="B1:L25"/>
  <sheetViews>
    <sheetView showGridLines="0" zoomScale="170" zoomScaleNormal="170" workbookViewId="0">
      <selection activeCell="B2" sqref="B2:I22"/>
    </sheetView>
  </sheetViews>
  <sheetFormatPr defaultColWidth="8.625" defaultRowHeight="16"/>
  <cols>
    <col min="1" max="1" width="8.625" style="31"/>
    <col min="2" max="2" width="2.625" style="31" customWidth="1"/>
    <col min="3" max="3" width="36.875" style="31" bestFit="1" customWidth="1"/>
    <col min="4" max="4" width="9.125" style="64" bestFit="1" customWidth="1"/>
    <col min="5" max="9" width="9.625" style="64" bestFit="1" customWidth="1"/>
    <col min="10" max="16384" width="8.625" style="31"/>
  </cols>
  <sheetData>
    <row r="1" spans="2:12" ht="12.75" customHeight="1"/>
    <row r="2" spans="2:12" s="99" customFormat="1" ht="12.75" customHeight="1">
      <c r="B2" s="398" t="s">
        <v>49</v>
      </c>
      <c r="C2" s="398"/>
      <c r="D2" s="32">
        <v>2019</v>
      </c>
      <c r="E2" s="32" t="s">
        <v>266</v>
      </c>
      <c r="F2" s="32" t="s">
        <v>267</v>
      </c>
      <c r="G2" s="32" t="s">
        <v>268</v>
      </c>
      <c r="H2" s="32" t="s">
        <v>269</v>
      </c>
      <c r="I2" s="32" t="s">
        <v>270</v>
      </c>
      <c r="J2" s="398"/>
      <c r="K2" s="398"/>
      <c r="L2" s="421"/>
    </row>
    <row r="3" spans="2:12" s="98" customFormat="1" ht="12.75" customHeight="1">
      <c r="C3" s="105" t="s">
        <v>214</v>
      </c>
      <c r="D3" s="208">
        <f>+'Cap 10 Vegas 8'!E16</f>
        <v>15468.75</v>
      </c>
      <c r="E3" s="208">
        <f>+'Cap 10 Vegas 8'!F16</f>
        <v>-42967.03125</v>
      </c>
      <c r="F3" s="208">
        <f>+'Cap 10 Vegas 8'!G16</f>
        <v>32739.3</v>
      </c>
      <c r="G3" s="208">
        <f>+'Cap 10 Vegas 8'!H16</f>
        <v>149966.85000000015</v>
      </c>
      <c r="H3" s="208">
        <f>+'Cap 10 Vegas 8'!I16</f>
        <v>95052.255375000124</v>
      </c>
      <c r="I3" s="208">
        <f>+'Cap 10 Vegas 8'!J16</f>
        <v>91752.255375000124</v>
      </c>
      <c r="K3" s="422"/>
      <c r="L3" s="423"/>
    </row>
    <row r="4" spans="2:12" s="98" customFormat="1" ht="12.75" customHeight="1">
      <c r="C4" s="104" t="s">
        <v>217</v>
      </c>
      <c r="D4" s="206">
        <f>'Cap 10 Vegas 6'!D18*D11</f>
        <v>20000</v>
      </c>
      <c r="E4" s="206">
        <f>'Cap 10 Vegas 6'!E18*E11</f>
        <v>35000</v>
      </c>
      <c r="F4" s="206">
        <f>'Cap 10 Vegas 6'!F18*F11</f>
        <v>49600</v>
      </c>
      <c r="G4" s="206">
        <f>'Cap 10 Vegas 6'!G18*G11</f>
        <v>53600</v>
      </c>
      <c r="H4" s="206">
        <f>'Cap 10 Vegas 6'!H18*H11</f>
        <v>58100</v>
      </c>
      <c r="I4" s="206">
        <f>'Cap 10 Vegas 6'!I18*I11</f>
        <v>63100</v>
      </c>
      <c r="K4" s="422"/>
      <c r="L4" s="423"/>
    </row>
    <row r="5" spans="2:12" s="98" customFormat="1" ht="12.75" customHeight="1">
      <c r="C5" s="406" t="s">
        <v>218</v>
      </c>
      <c r="D5" s="206">
        <v>-8000</v>
      </c>
      <c r="E5" s="206">
        <f t="shared" ref="E5:I6" si="0">-(E10-D10)</f>
        <v>-21738.28125</v>
      </c>
      <c r="F5" s="206">
        <f t="shared" si="0"/>
        <v>-145467.96875000003</v>
      </c>
      <c r="G5" s="206">
        <f t="shared" si="0"/>
        <v>16793.749999999971</v>
      </c>
      <c r="H5" s="206">
        <f t="shared" si="0"/>
        <v>581.109375</v>
      </c>
      <c r="I5" s="206">
        <f t="shared" si="0"/>
        <v>0</v>
      </c>
      <c r="K5" s="422"/>
      <c r="L5" s="423"/>
    </row>
    <row r="6" spans="2:12" s="98" customFormat="1" ht="12.75" customHeight="1">
      <c r="C6" s="104" t="s">
        <v>219</v>
      </c>
      <c r="D6" s="206">
        <v>-15000</v>
      </c>
      <c r="E6" s="206">
        <f t="shared" si="0"/>
        <v>-150000</v>
      </c>
      <c r="F6" s="206">
        <f t="shared" si="0"/>
        <v>-146000</v>
      </c>
      <c r="G6" s="206">
        <f t="shared" si="0"/>
        <v>-40000</v>
      </c>
      <c r="H6" s="206">
        <f t="shared" si="0"/>
        <v>-45000</v>
      </c>
      <c r="I6" s="206">
        <f t="shared" si="0"/>
        <v>-50000</v>
      </c>
      <c r="K6" s="422"/>
      <c r="L6" s="423"/>
    </row>
    <row r="7" spans="2:12" s="99" customFormat="1" ht="12.75" customHeight="1">
      <c r="C7" s="105" t="s">
        <v>220</v>
      </c>
      <c r="D7" s="208">
        <f t="shared" ref="D7:I7" si="1">+D3+D4+D5+D6</f>
        <v>12468.75</v>
      </c>
      <c r="E7" s="208">
        <f t="shared" si="1"/>
        <v>-179705.3125</v>
      </c>
      <c r="F7" s="208">
        <f t="shared" si="1"/>
        <v>-209128.66875000001</v>
      </c>
      <c r="G7" s="208">
        <f t="shared" si="1"/>
        <v>180360.60000000012</v>
      </c>
      <c r="H7" s="208">
        <f t="shared" si="1"/>
        <v>108733.36475000012</v>
      </c>
      <c r="I7" s="208">
        <f t="shared" si="1"/>
        <v>104852.25537500012</v>
      </c>
      <c r="J7" s="98"/>
      <c r="K7" s="422"/>
      <c r="L7" s="423"/>
    </row>
    <row r="8" spans="2:12" s="98" customFormat="1" ht="12.75" customHeight="1">
      <c r="C8" s="423"/>
      <c r="D8" s="36"/>
      <c r="E8" s="36"/>
      <c r="F8" s="36"/>
      <c r="G8" s="36"/>
      <c r="H8" s="36"/>
      <c r="I8" s="36"/>
      <c r="K8" s="422"/>
      <c r="L8" s="423"/>
    </row>
    <row r="9" spans="2:12" s="99" customFormat="1" ht="12.75" customHeight="1">
      <c r="B9" s="398" t="s">
        <v>280</v>
      </c>
      <c r="C9" s="398"/>
      <c r="D9" s="427">
        <f>+D2</f>
        <v>2019</v>
      </c>
      <c r="E9" s="427">
        <f>+D9+1</f>
        <v>2020</v>
      </c>
      <c r="F9" s="427">
        <f>+E9+1</f>
        <v>2021</v>
      </c>
      <c r="G9" s="427">
        <f>+F9+1</f>
        <v>2022</v>
      </c>
      <c r="H9" s="427">
        <f>+G9+1</f>
        <v>2023</v>
      </c>
      <c r="I9" s="427">
        <f>+H9+1</f>
        <v>2024</v>
      </c>
      <c r="K9" s="424"/>
      <c r="L9" s="421"/>
    </row>
    <row r="10" spans="2:12" s="99" customFormat="1" ht="12.75" customHeight="1">
      <c r="C10" s="428" t="s">
        <v>28</v>
      </c>
      <c r="D10" s="208">
        <f>'Cap 10 Vegas 8'!E5*'Cap 10 Vegas 6'!D19</f>
        <v>82031.25</v>
      </c>
      <c r="E10" s="208">
        <f>'Cap 10 Vegas 8'!F5*'Cap 10 Vegas 6'!E19</f>
        <v>103769.53125</v>
      </c>
      <c r="F10" s="208">
        <f>'Cap 10 Vegas 8'!G5*'Cap 10 Vegas 6'!F19+J10</f>
        <v>249237.50000000003</v>
      </c>
      <c r="G10" s="208">
        <f>'Cap 10 Vegas 8'!H5*'Cap 10 Vegas 6'!G19</f>
        <v>232443.75000000006</v>
      </c>
      <c r="H10" s="208">
        <f>'Cap 10 Vegas 8'!I5*'Cap 10 Vegas 6'!H19</f>
        <v>231862.64062500006</v>
      </c>
      <c r="I10" s="208">
        <f>'Cap 10 Vegas 8'!J5*'Cap 10 Vegas 6'!I19</f>
        <v>231862.64062500006</v>
      </c>
      <c r="J10" s="99">
        <v>50000</v>
      </c>
      <c r="K10" s="424"/>
      <c r="L10" s="421"/>
    </row>
    <row r="11" spans="2:12" s="98" customFormat="1" ht="12.75" customHeight="1">
      <c r="C11" s="104" t="s">
        <v>222</v>
      </c>
      <c r="D11" s="206">
        <v>200000</v>
      </c>
      <c r="E11" s="206">
        <f>D11+'Cap 10 Vegas 6'!E20</f>
        <v>350000</v>
      </c>
      <c r="F11" s="206">
        <f>E11+'Cap 10 Vegas 6'!F20+J11</f>
        <v>496000</v>
      </c>
      <c r="G11" s="206">
        <f>F11+'Cap 10 Vegas 6'!G20</f>
        <v>536000</v>
      </c>
      <c r="H11" s="206">
        <f>G11+'Cap 10 Vegas 6'!H20</f>
        <v>581000</v>
      </c>
      <c r="I11" s="206">
        <f>H11+'Cap 10 Vegas 6'!I20</f>
        <v>631000</v>
      </c>
      <c r="J11" s="98">
        <v>66000</v>
      </c>
      <c r="K11" s="422"/>
      <c r="L11" s="423"/>
    </row>
    <row r="12" spans="2:12" s="98" customFormat="1" ht="12.75" customHeight="1">
      <c r="C12" s="104" t="s">
        <v>223</v>
      </c>
      <c r="D12" s="206">
        <v>-80000</v>
      </c>
      <c r="E12" s="206">
        <f>D12+'Cap 10 Vegas 8'!F9</f>
        <v>-115000</v>
      </c>
      <c r="F12" s="206">
        <f>E12+'Cap 10 Vegas 8'!G9+J12</f>
        <v>-171200</v>
      </c>
      <c r="G12" s="206">
        <f>F12+'Cap 10 Vegas 8'!H9</f>
        <v>-224800</v>
      </c>
      <c r="H12" s="206">
        <f>G12+'Cap 10 Vegas 8'!I9</f>
        <v>-282900</v>
      </c>
      <c r="I12" s="206">
        <f>H12+'Cap 10 Vegas 8'!J9</f>
        <v>-346000</v>
      </c>
      <c r="J12" s="98">
        <v>-6600</v>
      </c>
      <c r="K12" s="422"/>
      <c r="L12" s="423"/>
    </row>
    <row r="13" spans="2:12" s="99" customFormat="1" ht="12.75" customHeight="1">
      <c r="C13" s="105" t="s">
        <v>224</v>
      </c>
      <c r="D13" s="208">
        <f>+D11+D12</f>
        <v>120000</v>
      </c>
      <c r="E13" s="208">
        <f>+E11+E12</f>
        <v>235000</v>
      </c>
      <c r="F13" s="208">
        <f>+F11+F12+J13</f>
        <v>324800</v>
      </c>
      <c r="G13" s="208">
        <f>+G11+G12</f>
        <v>311200</v>
      </c>
      <c r="H13" s="208">
        <f>+H11+H12</f>
        <v>298100</v>
      </c>
      <c r="I13" s="208">
        <f>+I11+I12</f>
        <v>285000</v>
      </c>
      <c r="K13" s="424"/>
      <c r="L13" s="421"/>
    </row>
    <row r="14" spans="2:12" s="99" customFormat="1" ht="12.75" customHeight="1">
      <c r="C14" s="104" t="s">
        <v>281</v>
      </c>
      <c r="D14" s="206"/>
      <c r="E14" s="206"/>
      <c r="F14" s="206"/>
      <c r="G14" s="206">
        <f>150000-J15</f>
        <v>40600</v>
      </c>
      <c r="H14" s="206">
        <f>200000-J15</f>
        <v>90600</v>
      </c>
      <c r="I14" s="206">
        <f>H14</f>
        <v>90600</v>
      </c>
      <c r="K14" s="424"/>
      <c r="L14" s="421"/>
    </row>
    <row r="15" spans="2:12" s="99" customFormat="1" ht="12.75" customHeight="1">
      <c r="C15" s="105" t="s">
        <v>225</v>
      </c>
      <c r="D15" s="208">
        <f>+D10+D13</f>
        <v>202031.25</v>
      </c>
      <c r="E15" s="208">
        <f>+E10+E13</f>
        <v>338769.53125</v>
      </c>
      <c r="F15" s="208">
        <f>+F10+F13</f>
        <v>574037.5</v>
      </c>
      <c r="G15" s="208">
        <f>+G10+G13+G14</f>
        <v>584243.75</v>
      </c>
      <c r="H15" s="208">
        <f>+H10+H13+H14</f>
        <v>620562.640625</v>
      </c>
      <c r="I15" s="208">
        <f>+I10+I13+I14</f>
        <v>607462.640625</v>
      </c>
      <c r="J15" s="99">
        <f>J10+J11+J12</f>
        <v>109400</v>
      </c>
      <c r="K15" s="424"/>
      <c r="L15" s="421"/>
    </row>
    <row r="16" spans="2:12" s="99" customFormat="1" ht="12.75" customHeight="1">
      <c r="D16" s="417"/>
      <c r="E16" s="417"/>
      <c r="F16" s="417"/>
      <c r="G16" s="417"/>
      <c r="H16" s="417"/>
      <c r="I16" s="417"/>
      <c r="K16" s="424"/>
      <c r="L16" s="421"/>
    </row>
    <row r="17" spans="2:12" s="99" customFormat="1" ht="12.75" customHeight="1">
      <c r="B17" s="398"/>
      <c r="C17" s="398" t="s">
        <v>226</v>
      </c>
      <c r="D17" s="427">
        <v>2019</v>
      </c>
      <c r="E17" s="427" t="s">
        <v>266</v>
      </c>
      <c r="F17" s="427" t="s">
        <v>267</v>
      </c>
      <c r="G17" s="427" t="s">
        <v>268</v>
      </c>
      <c r="H17" s="427" t="s">
        <v>269</v>
      </c>
      <c r="I17" s="427" t="s">
        <v>270</v>
      </c>
      <c r="K17" s="424"/>
      <c r="L17" s="421" t="s">
        <v>282</v>
      </c>
    </row>
    <row r="18" spans="2:12" s="99" customFormat="1" ht="12.75" customHeight="1">
      <c r="C18" s="428" t="s">
        <v>227</v>
      </c>
      <c r="D18" s="208">
        <f>D22-D20</f>
        <v>102031.25</v>
      </c>
      <c r="E18" s="208">
        <f>E22*E19</f>
        <v>171087.7833768368</v>
      </c>
      <c r="F18" s="208">
        <f>F22*F19</f>
        <v>289904.47602474864</v>
      </c>
      <c r="G18" s="208">
        <f>G22*G19</f>
        <v>295058.90854601696</v>
      </c>
      <c r="H18" s="208">
        <f>H22*H19</f>
        <v>313400.93142159702</v>
      </c>
      <c r="I18" s="208">
        <f>I22*I19</f>
        <v>306785.07681989553</v>
      </c>
      <c r="K18" s="424"/>
      <c r="L18" s="421"/>
    </row>
    <row r="19" spans="2:12" s="98" customFormat="1" ht="12.75" customHeight="1">
      <c r="C19" s="104" t="s">
        <v>228</v>
      </c>
      <c r="D19" s="57">
        <f>D18/D22</f>
        <v>0.50502706883217319</v>
      </c>
      <c r="E19" s="57">
        <f>D19</f>
        <v>0.50502706883217319</v>
      </c>
      <c r="F19" s="57">
        <f>E19</f>
        <v>0.50502706883217319</v>
      </c>
      <c r="G19" s="57">
        <f>F19</f>
        <v>0.50502706883217319</v>
      </c>
      <c r="H19" s="57">
        <f>G19</f>
        <v>0.50502706883217319</v>
      </c>
      <c r="I19" s="57">
        <f>H19</f>
        <v>0.50502706883217319</v>
      </c>
      <c r="K19" s="422"/>
      <c r="L19" s="423"/>
    </row>
    <row r="20" spans="2:12" s="99" customFormat="1" ht="12.75" customHeight="1">
      <c r="C20" s="105" t="s">
        <v>30</v>
      </c>
      <c r="D20" s="208">
        <v>100000</v>
      </c>
      <c r="E20" s="208">
        <f>E21*E22</f>
        <v>167681.7478731632</v>
      </c>
      <c r="F20" s="208">
        <f>F21*F22</f>
        <v>284133.02397525136</v>
      </c>
      <c r="G20" s="208">
        <f>G21*G22</f>
        <v>289184.84145398298</v>
      </c>
      <c r="H20" s="208">
        <f>H21*H22</f>
        <v>307161.70920340292</v>
      </c>
      <c r="I20" s="208">
        <f>I21*I22</f>
        <v>300677.56380510441</v>
      </c>
      <c r="K20" s="424"/>
      <c r="L20" s="421"/>
    </row>
    <row r="21" spans="2:12" s="99" customFormat="1" ht="12.75" customHeight="1">
      <c r="C21" s="104" t="s">
        <v>229</v>
      </c>
      <c r="D21" s="57">
        <f>D20/D22</f>
        <v>0.49497293116782676</v>
      </c>
      <c r="E21" s="57">
        <f>D21</f>
        <v>0.49497293116782676</v>
      </c>
      <c r="F21" s="57">
        <f>E21</f>
        <v>0.49497293116782676</v>
      </c>
      <c r="G21" s="57">
        <f>F21</f>
        <v>0.49497293116782676</v>
      </c>
      <c r="H21" s="57">
        <f>G21</f>
        <v>0.49497293116782676</v>
      </c>
      <c r="I21" s="57">
        <f>H21</f>
        <v>0.49497293116782676</v>
      </c>
      <c r="K21" s="424"/>
      <c r="L21" s="421"/>
    </row>
    <row r="22" spans="2:12" s="99" customFormat="1" ht="12.75" customHeight="1">
      <c r="C22" s="105" t="s">
        <v>230</v>
      </c>
      <c r="D22" s="208">
        <f t="shared" ref="D22:I22" si="2">D15</f>
        <v>202031.25</v>
      </c>
      <c r="E22" s="208">
        <f t="shared" si="2"/>
        <v>338769.53125</v>
      </c>
      <c r="F22" s="208">
        <f t="shared" si="2"/>
        <v>574037.5</v>
      </c>
      <c r="G22" s="208">
        <f t="shared" si="2"/>
        <v>584243.75</v>
      </c>
      <c r="H22" s="208">
        <f t="shared" si="2"/>
        <v>620562.640625</v>
      </c>
      <c r="I22" s="208">
        <f t="shared" si="2"/>
        <v>607462.640625</v>
      </c>
      <c r="K22" s="424"/>
      <c r="L22" s="421"/>
    </row>
    <row r="23" spans="2:12" s="99" customFormat="1" ht="12.75" customHeight="1">
      <c r="D23" s="413"/>
      <c r="E23" s="413"/>
      <c r="F23" s="413"/>
      <c r="G23" s="413"/>
      <c r="H23" s="413"/>
      <c r="I23" s="413"/>
      <c r="K23" s="424"/>
      <c r="L23" s="421"/>
    </row>
    <row r="24" spans="2:12" ht="12.75" customHeight="1">
      <c r="C24" s="421"/>
      <c r="D24" s="35"/>
      <c r="E24" s="35"/>
      <c r="F24" s="35"/>
      <c r="G24" s="35"/>
      <c r="H24" s="35"/>
      <c r="I24" s="35"/>
    </row>
    <row r="25" spans="2:12" ht="12.75" customHeight="1"/>
  </sheetData>
  <pageMargins left="0.511811024" right="0.511811024" top="0.78740157499999996" bottom="0.78740157499999996" header="0.31496062000000002" footer="0.31496062000000002"/>
  <ignoredErrors>
    <ignoredError sqref="E20:I20 F13" formula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18B32-EF02-4FD9-826F-1AEA3572A081}">
  <sheetPr codeName="Sheet147">
    <pageSetUpPr fitToPage="1"/>
  </sheetPr>
  <dimension ref="B2:X36"/>
  <sheetViews>
    <sheetView showGridLines="0" topLeftCell="G1" zoomScale="150" zoomScaleNormal="150" zoomScalePageLayoutView="150" workbookViewId="0">
      <selection activeCell="N23" sqref="N23"/>
    </sheetView>
  </sheetViews>
  <sheetFormatPr defaultColWidth="7.75" defaultRowHeight="13.5"/>
  <cols>
    <col min="1" max="1" width="7.75" style="493"/>
    <col min="2" max="2" width="25.25" style="493" customWidth="1"/>
    <col min="3" max="3" width="10.375" style="493" bestFit="1" customWidth="1"/>
    <col min="4" max="4" width="11.625" style="493" bestFit="1" customWidth="1"/>
    <col min="5" max="8" width="9.125" style="493" bestFit="1" customWidth="1"/>
    <col min="9" max="9" width="17" style="493" customWidth="1"/>
    <col min="10" max="10" width="9.375" style="493" customWidth="1"/>
    <col min="11" max="11" width="7.75" style="98"/>
    <col min="12" max="13" width="2.625" style="98" customWidth="1"/>
    <col min="14" max="14" width="24" style="98" bestFit="1" customWidth="1"/>
    <col min="15" max="19" width="8.875" style="38" customWidth="1"/>
    <col min="20" max="21" width="2.625" style="98" customWidth="1"/>
    <col min="22" max="23" width="7.75" style="98"/>
    <col min="24" max="24" width="7.875" style="38" bestFit="1" customWidth="1"/>
    <col min="25" max="16384" width="7.75" style="493"/>
  </cols>
  <sheetData>
    <row r="2" spans="2:24">
      <c r="B2" s="616" t="s">
        <v>153</v>
      </c>
      <c r="C2" s="617"/>
      <c r="D2" s="617"/>
      <c r="E2" s="617"/>
      <c r="F2" s="617"/>
      <c r="G2" s="618"/>
      <c r="I2" s="616" t="s">
        <v>71</v>
      </c>
      <c r="J2" s="618"/>
      <c r="L2" s="398"/>
      <c r="M2" s="376" t="s">
        <v>244</v>
      </c>
      <c r="N2" s="396"/>
      <c r="O2" s="397"/>
      <c r="P2" s="397"/>
      <c r="Q2" s="397"/>
      <c r="R2" s="397"/>
      <c r="S2" s="397"/>
      <c r="T2" s="396"/>
      <c r="U2" s="376" t="s">
        <v>251</v>
      </c>
      <c r="V2" s="396"/>
      <c r="W2" s="396"/>
      <c r="X2" s="397"/>
    </row>
    <row r="3" spans="2:24">
      <c r="B3" s="494"/>
      <c r="G3" s="495"/>
      <c r="I3" s="494"/>
      <c r="J3" s="495"/>
    </row>
    <row r="4" spans="2:24" s="503" customFormat="1">
      <c r="B4" s="521" t="s">
        <v>60</v>
      </c>
      <c r="C4" s="513" t="s">
        <v>52</v>
      </c>
      <c r="D4" s="619" t="s">
        <v>154</v>
      </c>
      <c r="E4" s="619"/>
      <c r="F4" s="619"/>
      <c r="G4" s="514" t="s">
        <v>155</v>
      </c>
      <c r="I4" s="521" t="s">
        <v>156</v>
      </c>
      <c r="J4" s="522"/>
      <c r="K4" s="99"/>
      <c r="L4" s="99"/>
      <c r="M4" s="98"/>
      <c r="N4" s="431" t="s">
        <v>32</v>
      </c>
      <c r="O4" s="432" t="s">
        <v>52</v>
      </c>
      <c r="P4" s="432" t="s">
        <v>250</v>
      </c>
      <c r="Q4" s="432" t="s">
        <v>246</v>
      </c>
      <c r="R4" s="432" t="s">
        <v>247</v>
      </c>
      <c r="S4" s="432" t="s">
        <v>155</v>
      </c>
      <c r="T4" s="38"/>
      <c r="U4" s="99"/>
      <c r="V4" s="431" t="s">
        <v>162</v>
      </c>
      <c r="W4" s="431"/>
      <c r="X4" s="432"/>
    </row>
    <row r="5" spans="2:24">
      <c r="B5" s="494"/>
      <c r="G5" s="495"/>
      <c r="I5" s="494"/>
      <c r="J5" s="495"/>
      <c r="N5" s="98" t="s">
        <v>157</v>
      </c>
      <c r="O5" s="36">
        <f>C6</f>
        <v>82</v>
      </c>
      <c r="P5" s="37">
        <f>D6</f>
        <v>0.08</v>
      </c>
      <c r="Q5" s="37">
        <f t="shared" ref="Q5:S8" si="0">E6</f>
        <v>1.35</v>
      </c>
      <c r="R5" s="37">
        <f t="shared" si="0"/>
        <v>0.10800000000000001</v>
      </c>
      <c r="S5" s="426">
        <f>G6</f>
        <v>8.8560000000000016</v>
      </c>
      <c r="V5" s="98" t="s">
        <v>158</v>
      </c>
      <c r="X5" s="37">
        <f>J6</f>
        <v>0.03</v>
      </c>
    </row>
    <row r="6" spans="2:24">
      <c r="B6" s="494" t="s">
        <v>157</v>
      </c>
      <c r="C6" s="493">
        <v>82</v>
      </c>
      <c r="D6" s="496">
        <v>0.08</v>
      </c>
      <c r="E6" s="497">
        <v>1.35</v>
      </c>
      <c r="F6" s="523">
        <f>D6*E6</f>
        <v>0.10800000000000001</v>
      </c>
      <c r="G6" s="524">
        <f>F6*C6</f>
        <v>8.8560000000000016</v>
      </c>
      <c r="I6" s="494" t="s">
        <v>158</v>
      </c>
      <c r="J6" s="498">
        <v>0.03</v>
      </c>
      <c r="N6" s="98" t="s">
        <v>100</v>
      </c>
      <c r="O6" s="36">
        <f t="shared" ref="O6:R8" si="1">C7</f>
        <v>80</v>
      </c>
      <c r="P6" s="37">
        <f t="shared" si="1"/>
        <v>0.04</v>
      </c>
      <c r="Q6" s="37">
        <f t="shared" si="0"/>
        <v>0.05</v>
      </c>
      <c r="R6" s="37">
        <f t="shared" si="0"/>
        <v>9.2000000000000082E-2</v>
      </c>
      <c r="S6" s="426">
        <f t="shared" si="0"/>
        <v>7.3600000000000065</v>
      </c>
      <c r="V6" s="98" t="s">
        <v>159</v>
      </c>
      <c r="X6" s="39">
        <f>J7</f>
        <v>1.4</v>
      </c>
    </row>
    <row r="7" spans="2:24">
      <c r="B7" s="494" t="s">
        <v>100</v>
      </c>
      <c r="C7" s="499">
        <v>80</v>
      </c>
      <c r="D7" s="496">
        <v>0.04</v>
      </c>
      <c r="E7" s="496">
        <v>0.05</v>
      </c>
      <c r="F7" s="523">
        <f>(1+D7)*(1+E7)-1</f>
        <v>9.2000000000000082E-2</v>
      </c>
      <c r="G7" s="500">
        <f>F7*C7</f>
        <v>7.3600000000000065</v>
      </c>
      <c r="I7" s="494" t="s">
        <v>159</v>
      </c>
      <c r="J7" s="495">
        <v>1.4</v>
      </c>
      <c r="N7" s="99" t="s">
        <v>53</v>
      </c>
      <c r="O7" s="528">
        <f>O5+O6</f>
        <v>162</v>
      </c>
      <c r="S7" s="466">
        <f t="shared" si="0"/>
        <v>16.216000000000008</v>
      </c>
      <c r="V7" s="98" t="s">
        <v>160</v>
      </c>
      <c r="X7" s="37">
        <f t="shared" ref="X7" si="2">J8</f>
        <v>0.06</v>
      </c>
    </row>
    <row r="8" spans="2:24">
      <c r="B8" s="494"/>
      <c r="C8" s="493">
        <f>SUM(C6:C7)</f>
        <v>162</v>
      </c>
      <c r="D8" s="497"/>
      <c r="F8" s="523"/>
      <c r="G8" s="524">
        <f>SUM(G6:G7)</f>
        <v>16.216000000000008</v>
      </c>
      <c r="I8" s="494" t="s">
        <v>160</v>
      </c>
      <c r="J8" s="498">
        <v>0.06</v>
      </c>
      <c r="N8" s="98" t="s">
        <v>161</v>
      </c>
      <c r="O8" s="36">
        <f t="shared" si="1"/>
        <v>60</v>
      </c>
      <c r="P8" s="37">
        <f t="shared" si="1"/>
        <v>0.08</v>
      </c>
      <c r="Q8" s="37">
        <f t="shared" si="1"/>
        <v>0.98</v>
      </c>
      <c r="R8" s="37">
        <f t="shared" si="1"/>
        <v>7.8399999999999997E-2</v>
      </c>
      <c r="S8" s="426">
        <f t="shared" si="0"/>
        <v>4.7039999999999997</v>
      </c>
      <c r="V8" s="99" t="s">
        <v>162</v>
      </c>
      <c r="W8" s="99"/>
      <c r="X8" s="465">
        <f>J10</f>
        <v>0.11399999999999999</v>
      </c>
    </row>
    <row r="9" spans="2:24">
      <c r="B9" s="494" t="s">
        <v>161</v>
      </c>
      <c r="C9" s="493">
        <v>60</v>
      </c>
      <c r="D9" s="497">
        <f>D6</f>
        <v>0.08</v>
      </c>
      <c r="E9" s="497">
        <v>0.98</v>
      </c>
      <c r="F9" s="523">
        <f>D9*E9</f>
        <v>7.8399999999999997E-2</v>
      </c>
      <c r="G9" s="524">
        <f>F9*C9</f>
        <v>4.7039999999999997</v>
      </c>
      <c r="I9" s="494"/>
      <c r="J9" s="495"/>
      <c r="N9" s="99" t="s">
        <v>245</v>
      </c>
      <c r="O9" s="528">
        <f>O7-O8</f>
        <v>102</v>
      </c>
      <c r="S9" s="466">
        <f>G11</f>
        <v>11.512000000000008</v>
      </c>
    </row>
    <row r="10" spans="2:24">
      <c r="B10" s="494"/>
      <c r="G10" s="495"/>
      <c r="I10" s="501" t="s">
        <v>162</v>
      </c>
      <c r="J10" s="502">
        <f>J6+J7*J8</f>
        <v>0.11399999999999999</v>
      </c>
      <c r="V10" s="98" t="s">
        <v>167</v>
      </c>
      <c r="X10" s="37">
        <f>J15</f>
        <v>2.8000000000000001E-2</v>
      </c>
    </row>
    <row r="11" spans="2:24">
      <c r="B11" s="501" t="s">
        <v>163</v>
      </c>
      <c r="C11" s="503">
        <f>C8-C9</f>
        <v>102</v>
      </c>
      <c r="E11" s="525"/>
      <c r="G11" s="504">
        <f>G8-G9</f>
        <v>11.512000000000008</v>
      </c>
      <c r="I11" s="494"/>
      <c r="J11" s="495"/>
      <c r="N11" s="99" t="s">
        <v>248</v>
      </c>
      <c r="O11" s="35"/>
      <c r="P11" s="35"/>
      <c r="Q11" s="35"/>
      <c r="R11" s="391">
        <f>F13</f>
        <v>0.11286274509803929</v>
      </c>
      <c r="V11" s="98" t="s">
        <v>169</v>
      </c>
      <c r="X11" s="37">
        <f>J17</f>
        <v>0.02</v>
      </c>
    </row>
    <row r="12" spans="2:24">
      <c r="B12" s="494"/>
      <c r="G12" s="495"/>
      <c r="I12" s="494"/>
      <c r="J12" s="495"/>
      <c r="N12" s="98" t="s">
        <v>37</v>
      </c>
      <c r="R12" s="392">
        <f>F15</f>
        <v>0.34</v>
      </c>
      <c r="V12" s="98" t="s">
        <v>170</v>
      </c>
      <c r="X12" s="37">
        <f>J19</f>
        <v>0.02</v>
      </c>
    </row>
    <row r="13" spans="2:24">
      <c r="B13" s="501" t="s">
        <v>164</v>
      </c>
      <c r="F13" s="505">
        <f>G11/C11</f>
        <v>0.11286274509803929</v>
      </c>
      <c r="G13" s="495"/>
      <c r="I13" s="506" t="s">
        <v>165</v>
      </c>
      <c r="J13" s="495"/>
      <c r="N13" s="99" t="s">
        <v>249</v>
      </c>
      <c r="O13" s="35"/>
      <c r="P13" s="35"/>
      <c r="Q13" s="35"/>
      <c r="R13" s="463">
        <f>F17</f>
        <v>7.4489411764705915E-2</v>
      </c>
      <c r="V13" s="99" t="s">
        <v>171</v>
      </c>
      <c r="W13" s="99"/>
      <c r="X13" s="465">
        <f>J21</f>
        <v>0.18199999999999997</v>
      </c>
    </row>
    <row r="14" spans="2:24">
      <c r="B14" s="494"/>
      <c r="G14" s="495"/>
      <c r="I14" s="494"/>
      <c r="J14" s="495"/>
    </row>
    <row r="15" spans="2:24">
      <c r="B15" s="494" t="s">
        <v>166</v>
      </c>
      <c r="F15" s="497">
        <v>0.34</v>
      </c>
      <c r="G15" s="495"/>
      <c r="I15" s="494" t="s">
        <v>167</v>
      </c>
      <c r="J15" s="498">
        <v>2.8000000000000001E-2</v>
      </c>
      <c r="M15" s="376" t="s">
        <v>255</v>
      </c>
    </row>
    <row r="16" spans="2:24">
      <c r="B16" s="494"/>
      <c r="G16" s="495"/>
      <c r="I16" s="494"/>
      <c r="J16" s="498"/>
    </row>
    <row r="17" spans="2:17">
      <c r="B17" s="507" t="s">
        <v>168</v>
      </c>
      <c r="C17" s="508"/>
      <c r="D17" s="508"/>
      <c r="E17" s="508"/>
      <c r="F17" s="509">
        <f>F13*(1-F15)</f>
        <v>7.4489411764705915E-2</v>
      </c>
      <c r="G17" s="510"/>
      <c r="I17" s="494" t="s">
        <v>169</v>
      </c>
      <c r="J17" s="498">
        <v>0.02</v>
      </c>
      <c r="N17" s="431" t="s">
        <v>252</v>
      </c>
      <c r="O17" s="432" t="s">
        <v>253</v>
      </c>
      <c r="P17" s="432" t="s">
        <v>154</v>
      </c>
      <c r="Q17" s="432" t="s">
        <v>254</v>
      </c>
    </row>
    <row r="18" spans="2:17">
      <c r="I18" s="494"/>
      <c r="J18" s="498"/>
      <c r="N18" s="98" t="s">
        <v>244</v>
      </c>
      <c r="O18" s="37">
        <f>C28</f>
        <v>0.50502706883217319</v>
      </c>
      <c r="P18" s="37">
        <f>D28</f>
        <v>7.4489411764705915E-2</v>
      </c>
      <c r="Q18" s="464">
        <f>E28</f>
        <v>3.7619169282562225E-2</v>
      </c>
    </row>
    <row r="19" spans="2:17">
      <c r="I19" s="494" t="s">
        <v>170</v>
      </c>
      <c r="J19" s="498">
        <v>0.02</v>
      </c>
      <c r="N19" s="98" t="s">
        <v>251</v>
      </c>
      <c r="O19" s="37">
        <f t="shared" ref="O19:Q19" si="3">C29</f>
        <v>0.49497293116782681</v>
      </c>
      <c r="P19" s="37">
        <f t="shared" si="3"/>
        <v>0.18199999999999997</v>
      </c>
      <c r="Q19" s="464">
        <f t="shared" si="3"/>
        <v>9.0085073472544464E-2</v>
      </c>
    </row>
    <row r="20" spans="2:17">
      <c r="I20" s="494"/>
      <c r="J20" s="495"/>
      <c r="N20" s="99" t="s">
        <v>7</v>
      </c>
      <c r="O20" s="35"/>
      <c r="P20" s="35"/>
      <c r="Q20" s="463">
        <f>E31</f>
        <v>0.12770424275510669</v>
      </c>
    </row>
    <row r="21" spans="2:17">
      <c r="I21" s="507" t="s">
        <v>171</v>
      </c>
      <c r="J21" s="511">
        <f>J10+J15+J17+J19</f>
        <v>0.18199999999999997</v>
      </c>
    </row>
    <row r="23" spans="2:17">
      <c r="B23" s="616" t="s">
        <v>172</v>
      </c>
      <c r="C23" s="617"/>
      <c r="D23" s="617"/>
      <c r="E23" s="618"/>
    </row>
    <row r="24" spans="2:17">
      <c r="B24" s="494"/>
      <c r="E24" s="495"/>
      <c r="J24" s="496"/>
    </row>
    <row r="25" spans="2:17">
      <c r="B25" s="512" t="s">
        <v>173</v>
      </c>
      <c r="C25" s="513" t="s">
        <v>174</v>
      </c>
      <c r="D25" s="513" t="s">
        <v>175</v>
      </c>
      <c r="E25" s="514" t="s">
        <v>176</v>
      </c>
    </row>
    <row r="26" spans="2:17">
      <c r="B26" s="494"/>
      <c r="E26" s="495"/>
    </row>
    <row r="27" spans="2:17">
      <c r="B27" s="494"/>
      <c r="E27" s="495"/>
    </row>
    <row r="28" spans="2:17">
      <c r="B28" s="494" t="s">
        <v>150</v>
      </c>
      <c r="C28" s="525">
        <v>0.50502706883217319</v>
      </c>
      <c r="D28" s="515">
        <f>F17</f>
        <v>7.4489411764705915E-2</v>
      </c>
      <c r="E28" s="516">
        <f>D28*C28</f>
        <v>3.7619169282562225E-2</v>
      </c>
      <c r="F28" s="515"/>
    </row>
    <row r="29" spans="2:17">
      <c r="B29" s="494" t="s">
        <v>177</v>
      </c>
      <c r="C29" s="525">
        <f>1-C28</f>
        <v>0.49497293116782681</v>
      </c>
      <c r="D29" s="515">
        <f>J21</f>
        <v>0.18199999999999997</v>
      </c>
      <c r="E29" s="517">
        <f>D29*C29</f>
        <v>9.0085073472544464E-2</v>
      </c>
      <c r="F29" s="515"/>
    </row>
    <row r="30" spans="2:17">
      <c r="B30" s="494"/>
      <c r="E30" s="495"/>
      <c r="F30" s="518"/>
    </row>
    <row r="31" spans="2:17">
      <c r="B31" s="507" t="s">
        <v>7</v>
      </c>
      <c r="C31" s="519"/>
      <c r="D31" s="519"/>
      <c r="E31" s="509">
        <f>SUM(E28:E29)</f>
        <v>0.12770424275510669</v>
      </c>
      <c r="F31" s="526"/>
    </row>
    <row r="33" spans="2:8">
      <c r="B33" s="519" t="s">
        <v>24</v>
      </c>
      <c r="C33" s="520">
        <v>2016</v>
      </c>
      <c r="D33" s="520">
        <f>+C33+1</f>
        <v>2017</v>
      </c>
      <c r="E33" s="520">
        <f>+D33+1</f>
        <v>2018</v>
      </c>
      <c r="F33" s="520">
        <f>+E33+1</f>
        <v>2019</v>
      </c>
      <c r="G33" s="520">
        <f>+F33+1</f>
        <v>2020</v>
      </c>
      <c r="H33" s="520">
        <f>+G33+1</f>
        <v>2021</v>
      </c>
    </row>
    <row r="34" spans="2:8">
      <c r="B34" s="493" t="s">
        <v>150</v>
      </c>
      <c r="C34" s="527">
        <f>C11*1000</f>
        <v>102000</v>
      </c>
      <c r="D34" s="527">
        <v>171087.7833768368</v>
      </c>
      <c r="E34" s="527">
        <v>212832.6106921887</v>
      </c>
      <c r="F34" s="527">
        <v>221874.96253866973</v>
      </c>
      <c r="G34" s="527">
        <v>218372.17961801525</v>
      </c>
      <c r="H34" s="527">
        <v>215089.50367060612</v>
      </c>
    </row>
    <row r="35" spans="2:8">
      <c r="B35" s="493" t="s">
        <v>154</v>
      </c>
      <c r="C35" s="103">
        <f>F13</f>
        <v>0.11286274509803929</v>
      </c>
      <c r="D35" s="515">
        <f>C35</f>
        <v>0.11286274509803929</v>
      </c>
      <c r="E35" s="515">
        <f t="shared" ref="E35:H35" si="4">D35</f>
        <v>0.11286274509803929</v>
      </c>
      <c r="F35" s="515">
        <f t="shared" si="4"/>
        <v>0.11286274509803929</v>
      </c>
      <c r="G35" s="515">
        <f t="shared" si="4"/>
        <v>0.11286274509803929</v>
      </c>
      <c r="H35" s="515">
        <f t="shared" si="4"/>
        <v>0.11286274509803929</v>
      </c>
    </row>
    <row r="36" spans="2:8">
      <c r="B36" s="493" t="s">
        <v>178</v>
      </c>
      <c r="C36" s="527">
        <f>C35*C34</f>
        <v>11512.000000000007</v>
      </c>
      <c r="D36" s="527">
        <f>D35*D34</f>
        <v>19309.436884648494</v>
      </c>
      <c r="E36" s="527">
        <f t="shared" ref="E36:H36" si="5">E35*E34</f>
        <v>24020.872689102722</v>
      </c>
      <c r="F36" s="527">
        <f t="shared" si="5"/>
        <v>25041.417340638898</v>
      </c>
      <c r="G36" s="527">
        <f t="shared" si="5"/>
        <v>24646.083644731305</v>
      </c>
      <c r="H36" s="527">
        <f t="shared" si="5"/>
        <v>24275.591826039403</v>
      </c>
    </row>
  </sheetData>
  <mergeCells count="4">
    <mergeCell ref="B2:G2"/>
    <mergeCell ref="I2:J2"/>
    <mergeCell ref="D4:F4"/>
    <mergeCell ref="B23:E23"/>
  </mergeCells>
  <pageMargins left="0.51" right="0.51" top="0.79000000000000015" bottom="0.79000000000000015" header="0.31" footer="0.31"/>
  <pageSetup paperSize="9" scale="56" orientation="landscape" r:id="rId1"/>
  <ignoredErrors>
    <ignoredError sqref="O7" formula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AA136-E340-4FAF-B55A-3BDB38DF8717}">
  <sheetPr codeName="Sheet148"/>
  <dimension ref="B1:L30"/>
  <sheetViews>
    <sheetView showGridLines="0" zoomScale="180" zoomScaleNormal="180" workbookViewId="0"/>
  </sheetViews>
  <sheetFormatPr defaultColWidth="8.625" defaultRowHeight="16"/>
  <cols>
    <col min="1" max="1" width="8.625" style="31"/>
    <col min="2" max="2" width="2.625" style="31" customWidth="1"/>
    <col min="3" max="3" width="21.25" style="31" bestFit="1" customWidth="1"/>
    <col min="4" max="6" width="9.625" style="64" bestFit="1" customWidth="1"/>
    <col min="7" max="8" width="9.125" style="64" bestFit="1" customWidth="1"/>
    <col min="9" max="9" width="10.5" style="64" bestFit="1" customWidth="1"/>
    <col min="10" max="16384" width="8.625" style="31"/>
  </cols>
  <sheetData>
    <row r="1" spans="2:12" ht="12.75" customHeight="1"/>
    <row r="2" spans="2:12" s="99" customFormat="1" ht="12.75" customHeight="1">
      <c r="B2" s="398" t="s">
        <v>243</v>
      </c>
      <c r="C2" s="398"/>
      <c r="D2" s="530">
        <f>+'Cap 10 Vegas 9'!D9</f>
        <v>2019</v>
      </c>
      <c r="E2" s="427">
        <f>+D2+1</f>
        <v>2020</v>
      </c>
      <c r="F2" s="427">
        <f>+E2+1</f>
        <v>2021</v>
      </c>
      <c r="G2" s="427">
        <f>+F2+1</f>
        <v>2022</v>
      </c>
      <c r="H2" s="427">
        <f>+G2+1</f>
        <v>2023</v>
      </c>
      <c r="I2" s="427">
        <f>+H2+1</f>
        <v>2024</v>
      </c>
      <c r="J2" s="398"/>
      <c r="K2" s="424"/>
      <c r="L2" s="421"/>
    </row>
    <row r="3" spans="2:12" s="99" customFormat="1" ht="12.75" customHeight="1">
      <c r="C3" s="104" t="s">
        <v>49</v>
      </c>
      <c r="D3" s="46"/>
      <c r="E3" s="101">
        <f>'Cap 10 Vegas 9'!E7</f>
        <v>-179705.3125</v>
      </c>
      <c r="F3" s="101">
        <f>+'Cap 10 Vegas 9'!F7</f>
        <v>-209128.66875000001</v>
      </c>
      <c r="G3" s="101">
        <f>+'Cap 10 Vegas 9'!G7</f>
        <v>180360.60000000012</v>
      </c>
      <c r="H3" s="101">
        <f>+'Cap 10 Vegas 9'!H7</f>
        <v>108733.36475000012</v>
      </c>
      <c r="I3" s="101">
        <f>+'Cap 10 Vegas 9'!I7</f>
        <v>104852.25537500012</v>
      </c>
      <c r="J3" s="382"/>
      <c r="K3" s="422"/>
      <c r="L3" s="423"/>
    </row>
    <row r="4" spans="2:12" s="99" customFormat="1" ht="12.75" customHeight="1">
      <c r="C4" s="104" t="s">
        <v>293</v>
      </c>
      <c r="D4" s="39"/>
      <c r="E4" s="101">
        <v>-50000</v>
      </c>
      <c r="F4" s="101">
        <f>E4</f>
        <v>-50000</v>
      </c>
      <c r="G4" s="101">
        <f>F4</f>
        <v>-50000</v>
      </c>
      <c r="H4" s="101">
        <f>G4</f>
        <v>-50000</v>
      </c>
      <c r="I4" s="14"/>
      <c r="J4" s="382"/>
      <c r="K4" s="422"/>
      <c r="L4" s="423" t="s">
        <v>285</v>
      </c>
    </row>
    <row r="5" spans="2:12" s="99" customFormat="1" ht="12.75" customHeight="1">
      <c r="C5" s="531" t="s">
        <v>231</v>
      </c>
      <c r="D5" s="39"/>
      <c r="E5" s="14"/>
      <c r="F5" s="14"/>
      <c r="G5" s="14"/>
      <c r="H5" s="14"/>
      <c r="I5" s="532">
        <f>I3*(1+D14)/(D13-D14)</f>
        <v>1324848.6802705112</v>
      </c>
      <c r="J5" s="382"/>
      <c r="K5" s="422"/>
      <c r="L5" s="423"/>
    </row>
    <row r="6" spans="2:12" s="99" customFormat="1" ht="12.75" customHeight="1">
      <c r="C6" s="533" t="s">
        <v>51</v>
      </c>
      <c r="D6" s="534"/>
      <c r="E6" s="534">
        <f>+(1+$D13)^(E2-$D2)</f>
        <v>1.0843310026491411</v>
      </c>
      <c r="F6" s="534">
        <f>+(1+$D13)^(F2-$D2)</f>
        <v>1.1757737233060916</v>
      </c>
      <c r="G6" s="534">
        <f>+(1+$D13)^(G2-$D2)</f>
        <v>1.2749279002810081</v>
      </c>
      <c r="H6" s="534">
        <f>+(1+$D13)^(H2-$D2)</f>
        <v>1.3824438484170698</v>
      </c>
      <c r="I6" s="534">
        <f>+(1+$D13)^(I2-$D2)</f>
        <v>1.4990267242602184</v>
      </c>
      <c r="J6" s="98"/>
      <c r="K6" s="422"/>
      <c r="L6" s="423"/>
    </row>
    <row r="7" spans="2:12" s="99" customFormat="1" ht="12.75" customHeight="1">
      <c r="C7" s="105" t="s">
        <v>232</v>
      </c>
      <c r="D7" s="46"/>
      <c r="E7" s="100">
        <f>(E3+E4)/E6</f>
        <v>-211840.58367675959</v>
      </c>
      <c r="F7" s="100">
        <f>(F3+F4)/F6</f>
        <v>-220389.9131385338</v>
      </c>
      <c r="G7" s="100">
        <f>(G3+G4)/G6</f>
        <v>102249.3899233574</v>
      </c>
      <c r="H7" s="100">
        <f>(H3+H4)/H6</f>
        <v>42485.17205038829</v>
      </c>
      <c r="I7" s="100">
        <f>(I3+I4)/I6</f>
        <v>69946.888656535157</v>
      </c>
      <c r="J7" s="382"/>
      <c r="K7" s="422"/>
      <c r="L7" s="423"/>
    </row>
    <row r="8" spans="2:12" s="99" customFormat="1" ht="12.75" customHeight="1">
      <c r="C8" s="98"/>
      <c r="D8" s="394"/>
      <c r="E8" s="471"/>
      <c r="F8" s="471"/>
      <c r="G8" s="471"/>
      <c r="H8" s="471"/>
      <c r="I8" s="471"/>
      <c r="J8" s="98"/>
      <c r="K8" s="422"/>
      <c r="L8" s="423"/>
    </row>
    <row r="9" spans="2:12" s="98" customFormat="1" ht="12.75" customHeight="1">
      <c r="C9" s="104" t="s">
        <v>233</v>
      </c>
      <c r="D9" s="101">
        <f>SUM(E7:I7)</f>
        <v>-217549.04618501253</v>
      </c>
      <c r="E9" s="394"/>
      <c r="F9" s="394"/>
      <c r="G9" s="394"/>
      <c r="H9" s="394"/>
      <c r="I9" s="394"/>
      <c r="K9" s="422"/>
      <c r="L9" s="423"/>
    </row>
    <row r="10" spans="2:12" s="98" customFormat="1" ht="12.75" customHeight="1">
      <c r="C10" s="104" t="s">
        <v>234</v>
      </c>
      <c r="D10" s="101">
        <f>I5/I6</f>
        <v>883805.9114151781</v>
      </c>
      <c r="E10" s="38"/>
      <c r="F10" s="38"/>
      <c r="G10" s="472"/>
      <c r="H10" s="38"/>
      <c r="I10" s="471"/>
      <c r="K10" s="422"/>
      <c r="L10" s="423"/>
    </row>
    <row r="11" spans="2:12" s="98" customFormat="1" ht="12.75" customHeight="1">
      <c r="C11" s="105" t="s">
        <v>62</v>
      </c>
      <c r="D11" s="100">
        <f>+D9+D10</f>
        <v>666256.86523016554</v>
      </c>
      <c r="E11" s="38"/>
      <c r="F11" s="38"/>
      <c r="G11" s="38"/>
      <c r="H11" s="38"/>
      <c r="I11" s="38"/>
      <c r="K11" s="422"/>
      <c r="L11" s="423"/>
    </row>
    <row r="12" spans="2:12" s="98" customFormat="1" ht="12.75" customHeight="1">
      <c r="D12" s="37"/>
      <c r="E12" s="38"/>
      <c r="F12" s="42" t="s">
        <v>235</v>
      </c>
      <c r="G12" s="106">
        <f>'Cap 10 Vegas 10'!E31</f>
        <v>0.12770424275510669</v>
      </c>
      <c r="H12" s="42" t="s">
        <v>236</v>
      </c>
      <c r="I12" s="106">
        <v>4.4999999999999998E-2</v>
      </c>
      <c r="K12" s="422"/>
      <c r="L12" s="423"/>
    </row>
    <row r="13" spans="2:12" s="99" customFormat="1" ht="12.75" customHeight="1">
      <c r="C13" s="105" t="s">
        <v>237</v>
      </c>
      <c r="D13" s="52">
        <f>G14</f>
        <v>8.4331002649141062E-2</v>
      </c>
      <c r="E13" s="35"/>
      <c r="F13" s="44" t="s">
        <v>238</v>
      </c>
      <c r="G13" s="49">
        <v>0.04</v>
      </c>
      <c r="H13" s="44" t="s">
        <v>238</v>
      </c>
      <c r="I13" s="49">
        <f>G13</f>
        <v>0.04</v>
      </c>
      <c r="K13" s="467"/>
      <c r="L13" s="421"/>
    </row>
    <row r="14" spans="2:12" s="99" customFormat="1" ht="12.75" customHeight="1">
      <c r="C14" s="105" t="s">
        <v>236</v>
      </c>
      <c r="D14" s="405">
        <f>I14</f>
        <v>4.8076923076922906E-3</v>
      </c>
      <c r="E14" s="35"/>
      <c r="F14" s="44" t="s">
        <v>239</v>
      </c>
      <c r="G14" s="404">
        <f>(1+G12)/(1+G13)-1</f>
        <v>8.4331002649141062E-2</v>
      </c>
      <c r="H14" s="44" t="s">
        <v>239</v>
      </c>
      <c r="I14" s="404">
        <f>(1+I12)/(1+I13)-1</f>
        <v>4.8076923076922906E-3</v>
      </c>
      <c r="K14" s="468"/>
      <c r="L14" s="421"/>
    </row>
    <row r="15" spans="2:12" s="98" customFormat="1" ht="12.75" customHeight="1">
      <c r="D15" s="393"/>
      <c r="E15" s="38"/>
      <c r="F15" s="38"/>
      <c r="G15" s="38"/>
      <c r="H15" s="38"/>
      <c r="I15" s="38"/>
      <c r="K15" s="422"/>
      <c r="L15" s="423"/>
    </row>
    <row r="16" spans="2:12" s="99" customFormat="1" ht="12.75" customHeight="1">
      <c r="B16" s="398" t="s">
        <v>110</v>
      </c>
      <c r="C16" s="35"/>
      <c r="D16" s="35">
        <f>D2</f>
        <v>2019</v>
      </c>
      <c r="E16" s="35"/>
      <c r="F16" s="35"/>
      <c r="G16" s="35"/>
      <c r="H16" s="35"/>
      <c r="I16" s="35"/>
      <c r="K16" s="424"/>
      <c r="L16" s="421"/>
    </row>
    <row r="17" spans="3:12" s="98" customFormat="1" ht="12.75" customHeight="1">
      <c r="C17" s="104" t="s">
        <v>62</v>
      </c>
      <c r="D17" s="101">
        <f>D11</f>
        <v>666256.86523016554</v>
      </c>
      <c r="E17" s="38"/>
      <c r="F17" s="38"/>
      <c r="G17" s="38"/>
      <c r="H17" s="38"/>
      <c r="I17" s="38"/>
      <c r="K17" s="422"/>
      <c r="L17" s="423"/>
    </row>
    <row r="18" spans="3:12" s="98" customFormat="1" ht="12.75" customHeight="1">
      <c r="C18" s="104" t="s">
        <v>60</v>
      </c>
      <c r="D18" s="101">
        <f>'Cap 10 Vegas 9'!D18</f>
        <v>102031.25</v>
      </c>
      <c r="E18" s="473"/>
      <c r="F18" s="38"/>
      <c r="G18" s="38"/>
      <c r="H18" s="38"/>
      <c r="I18" s="38"/>
      <c r="K18" s="422"/>
      <c r="L18" s="423"/>
    </row>
    <row r="19" spans="3:12" s="98" customFormat="1" ht="12.75" customHeight="1">
      <c r="C19" s="105" t="s">
        <v>240</v>
      </c>
      <c r="D19" s="100">
        <f>D17-D18</f>
        <v>564225.61523016554</v>
      </c>
      <c r="E19" s="473"/>
      <c r="F19" s="37"/>
      <c r="G19" s="38"/>
      <c r="H19" s="473"/>
      <c r="I19" s="37"/>
      <c r="K19" s="469"/>
      <c r="L19" s="423"/>
    </row>
    <row r="20" spans="3:12" s="98" customFormat="1" ht="12.75" customHeight="1">
      <c r="C20" s="104" t="s">
        <v>241</v>
      </c>
      <c r="D20" s="101">
        <v>50000</v>
      </c>
      <c r="E20" s="38"/>
      <c r="F20" s="37"/>
      <c r="G20" s="38"/>
      <c r="H20" s="473"/>
      <c r="I20" s="474"/>
      <c r="K20" s="422"/>
      <c r="L20" s="423"/>
    </row>
    <row r="21" spans="3:12" s="98" customFormat="1" ht="12.75" customHeight="1">
      <c r="C21" s="105" t="s">
        <v>242</v>
      </c>
      <c r="D21" s="476">
        <f>+D19/D20</f>
        <v>11.284512304603311</v>
      </c>
      <c r="E21" s="38"/>
      <c r="F21" s="38"/>
      <c r="G21" s="38"/>
      <c r="H21" s="38"/>
      <c r="I21" s="37"/>
      <c r="K21" s="422"/>
      <c r="L21" s="423"/>
    </row>
    <row r="22" spans="3:12" s="98" customFormat="1" ht="12.75" customHeight="1">
      <c r="D22" s="14"/>
      <c r="E22" s="38"/>
      <c r="F22" s="38"/>
      <c r="G22" s="38"/>
      <c r="H22" s="38"/>
      <c r="I22" s="37"/>
      <c r="K22" s="422"/>
      <c r="L22" s="423"/>
    </row>
    <row r="23" spans="3:12" s="98" customFormat="1" ht="12.75" customHeight="1">
      <c r="C23" s="104" t="s">
        <v>30</v>
      </c>
      <c r="D23" s="101">
        <f>'Cap 10 Vegas 9'!D20</f>
        <v>100000</v>
      </c>
      <c r="E23" s="38"/>
      <c r="F23" s="38"/>
      <c r="G23" s="38"/>
      <c r="H23" s="38"/>
      <c r="I23" s="37"/>
      <c r="K23" s="422"/>
      <c r="L23" s="423"/>
    </row>
    <row r="24" spans="3:12" s="98" customFormat="1" ht="12.75" customHeight="1">
      <c r="C24" s="105" t="s">
        <v>64</v>
      </c>
      <c r="D24" s="476">
        <f>D19/D23</f>
        <v>5.6422561523016554</v>
      </c>
      <c r="E24" s="38"/>
      <c r="F24" s="38"/>
      <c r="G24" s="38"/>
      <c r="H24" s="38"/>
      <c r="I24" s="37"/>
      <c r="K24" s="422"/>
      <c r="L24" s="423"/>
    </row>
    <row r="25" spans="3:12" ht="12.75" customHeight="1">
      <c r="D25" s="63"/>
    </row>
    <row r="26" spans="3:12" ht="12.75" customHeight="1"/>
    <row r="27" spans="3:12" ht="12.75" customHeight="1"/>
    <row r="28" spans="3:12" ht="12.75" customHeight="1">
      <c r="D28" s="529">
        <f>D21/'Cap 10 Vegas 5'!D21</f>
        <v>2.7530389304385112</v>
      </c>
    </row>
    <row r="29" spans="3:12" ht="12.75" customHeight="1"/>
    <row r="30" spans="3:12" ht="12.75" customHeight="1"/>
  </sheetData>
  <pageMargins left="0.511811024" right="0.511811024" top="0.78740157499999996" bottom="0.78740157499999996" header="0.31496062000000002" footer="0.3149606200000000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9511A-883F-4A08-A932-434C20BE3ED2}">
  <sheetPr codeName="Sheet160"/>
  <dimension ref="B2:Q35"/>
  <sheetViews>
    <sheetView showGridLines="0" zoomScale="160" zoomScaleNormal="160" workbookViewId="0">
      <selection activeCell="C19" sqref="C19"/>
    </sheetView>
  </sheetViews>
  <sheetFormatPr defaultColWidth="9" defaultRowHeight="13.5"/>
  <cols>
    <col min="1" max="1" width="9" style="287"/>
    <col min="2" max="2" width="2.625" style="287" customWidth="1"/>
    <col min="3" max="3" width="27.375" style="287" bestFit="1" customWidth="1"/>
    <col min="4" max="14" width="7" style="336" customWidth="1"/>
    <col min="15" max="16384" width="9" style="287"/>
  </cols>
  <sheetData>
    <row r="2" spans="2:17" s="336" customFormat="1">
      <c r="B2" s="547" t="s">
        <v>341</v>
      </c>
      <c r="C2" s="547"/>
      <c r="D2" s="537">
        <v>0</v>
      </c>
      <c r="E2" s="537">
        <v>1</v>
      </c>
      <c r="F2" s="537">
        <v>2</v>
      </c>
      <c r="G2" s="537">
        <v>3</v>
      </c>
      <c r="H2" s="537">
        <v>4</v>
      </c>
      <c r="I2" s="537">
        <v>5</v>
      </c>
      <c r="J2" s="537">
        <v>6</v>
      </c>
      <c r="K2" s="537">
        <v>7</v>
      </c>
      <c r="L2" s="537">
        <v>8</v>
      </c>
      <c r="M2" s="537">
        <v>9</v>
      </c>
      <c r="N2" s="537">
        <v>10</v>
      </c>
    </row>
    <row r="3" spans="2:17">
      <c r="C3" s="553" t="s">
        <v>334</v>
      </c>
      <c r="D3" s="554"/>
      <c r="E3" s="554">
        <v>60</v>
      </c>
      <c r="F3" s="554">
        <f>E3*(1+8%)</f>
        <v>64.800000000000011</v>
      </c>
      <c r="G3" s="554">
        <f t="shared" ref="G3:N3" si="0">F3*(1+8%)</f>
        <v>69.984000000000023</v>
      </c>
      <c r="H3" s="554">
        <f t="shared" si="0"/>
        <v>75.582720000000023</v>
      </c>
      <c r="I3" s="554">
        <f t="shared" si="0"/>
        <v>81.629337600000028</v>
      </c>
      <c r="J3" s="554">
        <f t="shared" si="0"/>
        <v>88.159684608000035</v>
      </c>
      <c r="K3" s="554">
        <f t="shared" si="0"/>
        <v>95.212459376640041</v>
      </c>
      <c r="L3" s="554">
        <f t="shared" si="0"/>
        <v>102.82945612677125</v>
      </c>
      <c r="M3" s="554">
        <f t="shared" si="0"/>
        <v>111.05581261691296</v>
      </c>
      <c r="N3" s="554">
        <f t="shared" si="0"/>
        <v>119.94027762626601</v>
      </c>
      <c r="O3" s="537"/>
      <c r="P3" s="537"/>
    </row>
    <row r="4" spans="2:17">
      <c r="C4" s="553" t="s">
        <v>335</v>
      </c>
      <c r="D4" s="555">
        <v>-450</v>
      </c>
      <c r="E4" s="536"/>
      <c r="F4" s="536"/>
      <c r="G4" s="536"/>
      <c r="H4" s="536"/>
      <c r="I4" s="536"/>
      <c r="J4" s="536"/>
      <c r="K4" s="536"/>
      <c r="L4" s="536"/>
      <c r="M4" s="536"/>
      <c r="N4" s="536"/>
    </row>
    <row r="5" spans="2:17">
      <c r="C5" s="556" t="s">
        <v>336</v>
      </c>
      <c r="D5" s="548"/>
      <c r="E5" s="536"/>
      <c r="F5" s="536"/>
      <c r="G5" s="536"/>
      <c r="H5" s="536"/>
      <c r="I5" s="536"/>
      <c r="J5" s="536"/>
      <c r="K5" s="536"/>
      <c r="L5" s="536"/>
      <c r="M5" s="536"/>
      <c r="N5" s="557">
        <f>N3*(1+I11)/(I10-I11)</f>
        <v>979.92329066142202</v>
      </c>
    </row>
    <row r="6" spans="2:17" s="323" customFormat="1">
      <c r="C6" s="558" t="s">
        <v>304</v>
      </c>
      <c r="D6" s="559">
        <f>D4</f>
        <v>-450</v>
      </c>
      <c r="E6" s="560">
        <f t="shared" ref="E6:M6" si="1">E3</f>
        <v>60</v>
      </c>
      <c r="F6" s="560">
        <f t="shared" si="1"/>
        <v>64.800000000000011</v>
      </c>
      <c r="G6" s="560">
        <f t="shared" si="1"/>
        <v>69.984000000000023</v>
      </c>
      <c r="H6" s="560">
        <f t="shared" si="1"/>
        <v>75.582720000000023</v>
      </c>
      <c r="I6" s="560">
        <f t="shared" si="1"/>
        <v>81.629337600000028</v>
      </c>
      <c r="J6" s="560">
        <f t="shared" si="1"/>
        <v>88.159684608000035</v>
      </c>
      <c r="K6" s="560">
        <f t="shared" si="1"/>
        <v>95.212459376640041</v>
      </c>
      <c r="L6" s="560">
        <f t="shared" si="1"/>
        <v>102.82945612677125</v>
      </c>
      <c r="M6" s="560">
        <f t="shared" si="1"/>
        <v>111.05581261691296</v>
      </c>
      <c r="N6" s="560">
        <f>N5+N3</f>
        <v>1099.8635682876879</v>
      </c>
      <c r="O6" s="539"/>
      <c r="P6" s="539"/>
    </row>
    <row r="7" spans="2:17" s="323" customFormat="1">
      <c r="D7" s="549"/>
      <c r="E7" s="540"/>
      <c r="F7" s="540"/>
      <c r="G7" s="540"/>
      <c r="H7" s="540"/>
      <c r="I7" s="540"/>
      <c r="J7" s="540"/>
      <c r="K7" s="540"/>
      <c r="L7" s="540"/>
      <c r="M7" s="540"/>
      <c r="N7" s="540"/>
      <c r="O7" s="539"/>
      <c r="P7" s="539"/>
    </row>
    <row r="8" spans="2:17">
      <c r="C8" s="561" t="s">
        <v>337</v>
      </c>
      <c r="D8" s="559">
        <f>NPV(I10,E6:N6)</f>
        <v>544.22716296198041</v>
      </c>
      <c r="E8" s="542"/>
      <c r="F8" s="542"/>
      <c r="G8" s="620" t="s">
        <v>339</v>
      </c>
      <c r="H8" s="621"/>
      <c r="I8" s="279">
        <v>0.20874999999999999</v>
      </c>
      <c r="J8" s="542"/>
      <c r="K8" s="542"/>
      <c r="L8" s="542"/>
      <c r="M8" s="542"/>
      <c r="N8" s="542"/>
      <c r="O8" s="543"/>
      <c r="P8" s="543"/>
    </row>
    <row r="9" spans="2:17">
      <c r="C9" s="561" t="s">
        <v>338</v>
      </c>
      <c r="D9" s="559">
        <f>D8+D6</f>
        <v>94.227162961980412</v>
      </c>
      <c r="G9" s="620" t="s">
        <v>340</v>
      </c>
      <c r="H9" s="621"/>
      <c r="I9" s="279">
        <v>0.1</v>
      </c>
      <c r="J9" s="542"/>
      <c r="K9" s="542"/>
      <c r="L9" s="542"/>
      <c r="M9" s="542"/>
      <c r="N9" s="542"/>
      <c r="O9" s="543"/>
      <c r="P9" s="543"/>
    </row>
    <row r="10" spans="2:17">
      <c r="D10" s="343"/>
      <c r="G10" s="620" t="s">
        <v>7</v>
      </c>
      <c r="H10" s="621"/>
      <c r="I10" s="279">
        <v>0.1785175</v>
      </c>
      <c r="J10" s="542"/>
      <c r="K10" s="542"/>
      <c r="L10" s="542"/>
      <c r="M10" s="542"/>
      <c r="N10" s="542"/>
      <c r="O10" s="542"/>
      <c r="P10" s="543"/>
      <c r="Q10" s="543"/>
    </row>
    <row r="11" spans="2:17">
      <c r="C11" s="561" t="s">
        <v>296</v>
      </c>
      <c r="D11" s="282">
        <f>IRR(D6:N6)</f>
        <v>0.2138558379707618</v>
      </c>
      <c r="G11" s="620" t="s">
        <v>236</v>
      </c>
      <c r="H11" s="621"/>
      <c r="I11" s="279">
        <v>0.05</v>
      </c>
      <c r="J11" s="542"/>
      <c r="K11" s="542"/>
      <c r="L11" s="542"/>
      <c r="M11" s="542"/>
      <c r="N11" s="542"/>
      <c r="O11" s="542"/>
      <c r="P11" s="543"/>
      <c r="Q11" s="543"/>
    </row>
    <row r="12" spans="2:17">
      <c r="C12" s="541"/>
      <c r="D12" s="266"/>
      <c r="G12" s="538"/>
      <c r="H12" s="537"/>
      <c r="I12" s="264"/>
      <c r="J12" s="542"/>
      <c r="K12" s="542"/>
      <c r="L12" s="542"/>
      <c r="M12" s="542"/>
      <c r="N12" s="542"/>
      <c r="O12" s="542"/>
      <c r="P12" s="543"/>
      <c r="Q12" s="543"/>
    </row>
    <row r="13" spans="2:17">
      <c r="C13" s="541"/>
      <c r="D13" s="266"/>
      <c r="G13" s="538"/>
      <c r="H13" s="537"/>
      <c r="I13" s="264"/>
      <c r="J13" s="542"/>
      <c r="K13" s="542"/>
      <c r="L13" s="542"/>
      <c r="M13" s="542"/>
      <c r="N13" s="542"/>
      <c r="O13" s="542"/>
      <c r="P13" s="543"/>
      <c r="Q13" s="543"/>
    </row>
    <row r="14" spans="2:17">
      <c r="C14" s="541"/>
      <c r="D14" s="266"/>
      <c r="G14" s="538"/>
      <c r="H14" s="537"/>
      <c r="I14" s="264"/>
      <c r="J14" s="542"/>
      <c r="K14" s="542"/>
      <c r="L14" s="542"/>
      <c r="M14" s="542"/>
      <c r="N14" s="542"/>
      <c r="O14" s="542"/>
      <c r="P14" s="543"/>
      <c r="Q14" s="543"/>
    </row>
    <row r="15" spans="2:17">
      <c r="C15" s="541"/>
      <c r="D15" s="266"/>
      <c r="G15" s="538"/>
      <c r="H15" s="537"/>
      <c r="I15" s="264"/>
      <c r="J15" s="542"/>
      <c r="K15" s="542"/>
      <c r="L15" s="542"/>
      <c r="M15" s="542"/>
      <c r="N15" s="542"/>
      <c r="O15" s="542"/>
      <c r="P15" s="543"/>
      <c r="Q15" s="543"/>
    </row>
    <row r="16" spans="2:17">
      <c r="D16" s="343"/>
    </row>
    <row r="17" spans="2:15">
      <c r="B17" s="547" t="s">
        <v>342</v>
      </c>
      <c r="D17" s="343"/>
    </row>
    <row r="18" spans="2:15">
      <c r="C18" s="330" t="s">
        <v>343</v>
      </c>
      <c r="D18" s="562">
        <f>I9</f>
        <v>0.1</v>
      </c>
      <c r="E18" s="540"/>
      <c r="F18" s="540"/>
      <c r="G18" s="540"/>
      <c r="H18" s="540"/>
      <c r="I18" s="540"/>
      <c r="J18" s="540"/>
      <c r="K18" s="540"/>
      <c r="L18" s="540"/>
      <c r="M18" s="540"/>
      <c r="N18" s="540"/>
    </row>
    <row r="19" spans="2:15">
      <c r="C19" s="564" t="s">
        <v>344</v>
      </c>
      <c r="D19" s="565">
        <f>E31</f>
        <v>125</v>
      </c>
      <c r="E19" s="540"/>
      <c r="F19" s="540"/>
      <c r="G19" s="540"/>
      <c r="H19" s="540"/>
      <c r="I19" s="540"/>
      <c r="J19" s="540"/>
      <c r="K19" s="540"/>
      <c r="L19" s="540"/>
      <c r="M19" s="540"/>
      <c r="N19" s="540"/>
    </row>
    <row r="20" spans="2:15">
      <c r="C20" s="330" t="s">
        <v>155</v>
      </c>
      <c r="D20" s="566"/>
      <c r="E20" s="568">
        <f>D19*D18</f>
        <v>12.5</v>
      </c>
      <c r="F20" s="568">
        <f>E20</f>
        <v>12.5</v>
      </c>
      <c r="G20" s="568">
        <f t="shared" ref="G20:N20" si="2">F20</f>
        <v>12.5</v>
      </c>
      <c r="H20" s="568">
        <f t="shared" si="2"/>
        <v>12.5</v>
      </c>
      <c r="I20" s="568">
        <f t="shared" si="2"/>
        <v>12.5</v>
      </c>
      <c r="J20" s="568">
        <f t="shared" si="2"/>
        <v>12.5</v>
      </c>
      <c r="K20" s="568">
        <f t="shared" si="2"/>
        <v>12.5</v>
      </c>
      <c r="L20" s="568">
        <f t="shared" si="2"/>
        <v>12.5</v>
      </c>
      <c r="M20" s="568">
        <f t="shared" si="2"/>
        <v>12.5</v>
      </c>
      <c r="N20" s="568">
        <f t="shared" si="2"/>
        <v>12.5</v>
      </c>
    </row>
    <row r="21" spans="2:15">
      <c r="C21" s="330" t="s">
        <v>345</v>
      </c>
      <c r="D21" s="567"/>
      <c r="E21" s="567">
        <f>E20*0.66</f>
        <v>8.25</v>
      </c>
      <c r="F21" s="567">
        <f t="shared" ref="F21:M21" si="3">F20*0.66</f>
        <v>8.25</v>
      </c>
      <c r="G21" s="567">
        <f t="shared" si="3"/>
        <v>8.25</v>
      </c>
      <c r="H21" s="567">
        <f t="shared" si="3"/>
        <v>8.25</v>
      </c>
      <c r="I21" s="567">
        <f t="shared" si="3"/>
        <v>8.25</v>
      </c>
      <c r="J21" s="567">
        <f t="shared" si="3"/>
        <v>8.25</v>
      </c>
      <c r="K21" s="567">
        <f t="shared" si="3"/>
        <v>8.25</v>
      </c>
      <c r="L21" s="567">
        <f t="shared" si="3"/>
        <v>8.25</v>
      </c>
      <c r="M21" s="567">
        <f t="shared" si="3"/>
        <v>8.25</v>
      </c>
      <c r="N21" s="567">
        <f>N20*0.66</f>
        <v>8.25</v>
      </c>
    </row>
    <row r="22" spans="2:15">
      <c r="D22" s="551"/>
      <c r="E22" s="551"/>
      <c r="F22" s="551"/>
      <c r="G22" s="551"/>
      <c r="H22" s="551"/>
      <c r="I22" s="551"/>
      <c r="J22" s="551"/>
      <c r="K22" s="551"/>
      <c r="L22" s="551"/>
      <c r="M22" s="551"/>
      <c r="N22" s="551">
        <f>N3-N21</f>
        <v>111.69027762626601</v>
      </c>
    </row>
    <row r="23" spans="2:15">
      <c r="B23" s="538" t="s">
        <v>346</v>
      </c>
      <c r="C23" s="538"/>
      <c r="D23" s="551"/>
      <c r="E23" s="551"/>
      <c r="F23" s="551"/>
      <c r="G23" s="551"/>
      <c r="H23" s="551"/>
      <c r="I23" s="551"/>
      <c r="J23" s="551"/>
      <c r="K23" s="551"/>
      <c r="L23" s="551"/>
      <c r="M23" s="551"/>
      <c r="N23" s="551">
        <f>N22*(1+I11)/(I8-I11)</f>
        <v>738.73884414223187</v>
      </c>
    </row>
    <row r="24" spans="2:15">
      <c r="C24" s="330" t="s">
        <v>347</v>
      </c>
      <c r="D24" s="567"/>
      <c r="E24" s="567">
        <f>E6-E21</f>
        <v>51.75</v>
      </c>
      <c r="F24" s="567">
        <f t="shared" ref="F24:M24" si="4">F6-F21</f>
        <v>56.550000000000011</v>
      </c>
      <c r="G24" s="567">
        <f t="shared" si="4"/>
        <v>61.734000000000023</v>
      </c>
      <c r="H24" s="567">
        <f t="shared" si="4"/>
        <v>67.332720000000023</v>
      </c>
      <c r="I24" s="567">
        <f t="shared" si="4"/>
        <v>73.379337600000028</v>
      </c>
      <c r="J24" s="567">
        <f t="shared" si="4"/>
        <v>79.909684608000035</v>
      </c>
      <c r="K24" s="567">
        <f t="shared" si="4"/>
        <v>86.962459376640041</v>
      </c>
      <c r="L24" s="567">
        <f t="shared" si="4"/>
        <v>94.579456126771248</v>
      </c>
      <c r="M24" s="567">
        <f t="shared" si="4"/>
        <v>102.80581261691296</v>
      </c>
      <c r="N24" s="567">
        <f>N23+N22</f>
        <v>850.42912176849791</v>
      </c>
    </row>
    <row r="25" spans="2:15">
      <c r="C25" s="564" t="s">
        <v>348</v>
      </c>
      <c r="D25" s="565">
        <f>NPV(J9,E24:N24)</f>
        <v>1525.4325920968222</v>
      </c>
      <c r="E25" s="551"/>
      <c r="F25" s="551"/>
      <c r="G25" s="551"/>
      <c r="H25" s="551"/>
      <c r="I25" s="551"/>
      <c r="J25" s="551"/>
      <c r="K25" s="551"/>
      <c r="L25" s="551"/>
      <c r="M25" s="551"/>
      <c r="N25" s="551"/>
    </row>
    <row r="26" spans="2:15">
      <c r="C26" s="327" t="s">
        <v>349</v>
      </c>
      <c r="D26" s="569">
        <f>-E32</f>
        <v>-150</v>
      </c>
      <c r="E26" s="569">
        <f>$D35*E24</f>
        <v>30.147749954906171</v>
      </c>
      <c r="F26" s="569">
        <f t="shared" ref="F26:N26" si="5">$D35*F24</f>
        <v>32.944062994201822</v>
      </c>
      <c r="G26" s="569">
        <f t="shared" si="5"/>
        <v>35.964081076641122</v>
      </c>
      <c r="H26" s="569">
        <f t="shared" si="5"/>
        <v>39.225700605675563</v>
      </c>
      <c r="I26" s="569">
        <f t="shared" si="5"/>
        <v>42.748249697032762</v>
      </c>
      <c r="J26" s="569">
        <f t="shared" si="5"/>
        <v>46.552602715698541</v>
      </c>
      <c r="K26" s="569">
        <f t="shared" si="5"/>
        <v>50.661303975857571</v>
      </c>
      <c r="L26" s="569">
        <f t="shared" si="5"/>
        <v>55.098701336829336</v>
      </c>
      <c r="M26" s="569">
        <f t="shared" si="5"/>
        <v>59.891090486678834</v>
      </c>
      <c r="N26" s="569">
        <f t="shared" si="5"/>
        <v>495.43042545791548</v>
      </c>
    </row>
    <row r="27" spans="2:15">
      <c r="C27" s="327" t="s">
        <v>350</v>
      </c>
      <c r="D27" s="569">
        <f>NPV(J9,E26:N26)+D26</f>
        <v>738.66396830143708</v>
      </c>
    </row>
    <row r="28" spans="2:15">
      <c r="C28" s="327" t="s">
        <v>296</v>
      </c>
      <c r="D28" s="305">
        <f>IRR(D26:N26)</f>
        <v>0.30058308337489814</v>
      </c>
    </row>
    <row r="29" spans="2:15">
      <c r="D29" s="343"/>
      <c r="E29" s="545"/>
      <c r="O29" s="336"/>
    </row>
    <row r="30" spans="2:15">
      <c r="B30" s="538" t="s">
        <v>107</v>
      </c>
      <c r="C30" s="538"/>
      <c r="D30" s="343"/>
      <c r="O30" s="336"/>
    </row>
    <row r="31" spans="2:15">
      <c r="C31" s="570" t="s">
        <v>60</v>
      </c>
      <c r="D31" s="124">
        <f>E31/(E31+E32)</f>
        <v>0.45454545454545453</v>
      </c>
      <c r="E31" s="572">
        <v>125</v>
      </c>
      <c r="F31" s="571" t="s">
        <v>639</v>
      </c>
      <c r="H31" s="324"/>
      <c r="I31" s="324"/>
      <c r="J31" s="324"/>
      <c r="K31" s="324"/>
      <c r="L31" s="324"/>
      <c r="O31" s="336"/>
    </row>
    <row r="32" spans="2:15">
      <c r="C32" s="570" t="s">
        <v>352</v>
      </c>
      <c r="D32" s="124">
        <f>1-D31</f>
        <v>0.54545454545454541</v>
      </c>
      <c r="E32" s="572">
        <v>150</v>
      </c>
      <c r="F32" s="571" t="s">
        <v>353</v>
      </c>
      <c r="H32" s="324"/>
      <c r="I32" s="324"/>
      <c r="J32" s="324"/>
      <c r="K32" s="324"/>
      <c r="L32" s="324"/>
      <c r="O32" s="336"/>
    </row>
    <row r="33" spans="3:15">
      <c r="C33" s="570" t="s">
        <v>354</v>
      </c>
      <c r="D33" s="279"/>
      <c r="E33" s="572">
        <f>D8-E31</f>
        <v>419.22716296198041</v>
      </c>
      <c r="F33" s="571" t="s">
        <v>355</v>
      </c>
      <c r="H33" s="324"/>
      <c r="I33" s="324"/>
      <c r="J33" s="324"/>
      <c r="K33" s="324"/>
      <c r="L33" s="324"/>
      <c r="O33" s="336"/>
    </row>
    <row r="34" spans="3:15">
      <c r="C34" s="570" t="s">
        <v>356</v>
      </c>
      <c r="D34" s="124">
        <f>E34/E33</f>
        <v>0.41743478348007401</v>
      </c>
      <c r="E34" s="572">
        <f>-(D6+E31+E32)</f>
        <v>175</v>
      </c>
      <c r="F34" s="571" t="s">
        <v>357</v>
      </c>
      <c r="H34" s="324"/>
      <c r="I34" s="324"/>
      <c r="J34" s="324"/>
      <c r="K34" s="324"/>
      <c r="L34" s="324"/>
      <c r="O34" s="336"/>
    </row>
    <row r="35" spans="3:15">
      <c r="C35" s="570" t="s">
        <v>358</v>
      </c>
      <c r="D35" s="124">
        <f>1-D34</f>
        <v>0.58256521651992599</v>
      </c>
      <c r="E35" s="572">
        <f>E33-E34</f>
        <v>244.22716296198041</v>
      </c>
      <c r="F35" s="571" t="s">
        <v>359</v>
      </c>
      <c r="H35" s="324"/>
      <c r="I35" s="324"/>
      <c r="J35" s="324"/>
      <c r="K35" s="324"/>
      <c r="L35" s="324"/>
      <c r="O35" s="336"/>
    </row>
  </sheetData>
  <mergeCells count="4">
    <mergeCell ref="G8:H8"/>
    <mergeCell ref="G9:H9"/>
    <mergeCell ref="G10:H10"/>
    <mergeCell ref="G11:H11"/>
  </mergeCells>
  <pageMargins left="0.511811024" right="0.511811024" top="0.78740157499999996" bottom="0.78740157499999996" header="0.31496062000000002" footer="0.3149606200000000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4B59F-CE44-414D-A342-E7FA2A2721E6}">
  <sheetPr codeName="Sheet161"/>
  <dimension ref="B1:G18"/>
  <sheetViews>
    <sheetView showGridLines="0" zoomScale="170" zoomScaleNormal="170" workbookViewId="0">
      <selection activeCell="B13" sqref="B13"/>
    </sheetView>
  </sheetViews>
  <sheetFormatPr defaultColWidth="9" defaultRowHeight="13.5"/>
  <cols>
    <col min="1" max="1" width="9" style="287"/>
    <col min="2" max="2" width="26.625" style="535" customWidth="1"/>
    <col min="3" max="7" width="10.625" style="336" customWidth="1"/>
    <col min="8" max="16384" width="9" style="287"/>
  </cols>
  <sheetData>
    <row r="1" spans="2:7">
      <c r="B1" s="538"/>
    </row>
    <row r="2" spans="2:7">
      <c r="B2" s="538"/>
      <c r="C2" s="608" t="s">
        <v>360</v>
      </c>
      <c r="D2" s="608" t="s">
        <v>361</v>
      </c>
      <c r="E2" s="608"/>
      <c r="F2" s="608" t="s">
        <v>362</v>
      </c>
      <c r="G2" s="608"/>
    </row>
    <row r="3" spans="2:7">
      <c r="C3" s="608"/>
      <c r="D3" s="325" t="s">
        <v>363</v>
      </c>
      <c r="E3" s="325" t="s">
        <v>364</v>
      </c>
      <c r="F3" s="325" t="s">
        <v>363</v>
      </c>
      <c r="G3" s="325" t="s">
        <v>364</v>
      </c>
    </row>
    <row r="4" spans="2:7">
      <c r="B4" s="553" t="s">
        <v>365</v>
      </c>
      <c r="C4" s="584">
        <v>150</v>
      </c>
      <c r="D4" s="563">
        <v>150</v>
      </c>
      <c r="E4" s="563">
        <v>150</v>
      </c>
      <c r="F4" s="567">
        <f>E4</f>
        <v>150</v>
      </c>
      <c r="G4" s="567">
        <f>F4</f>
        <v>150</v>
      </c>
    </row>
    <row r="5" spans="2:7">
      <c r="B5" s="553" t="s">
        <v>366</v>
      </c>
      <c r="C5" s="585">
        <v>0.30058308337489814</v>
      </c>
      <c r="D5" s="279">
        <v>0.24872826613467125</v>
      </c>
      <c r="E5" s="279">
        <v>0.28451699273039521</v>
      </c>
      <c r="F5" s="279">
        <v>0.24872826613467125</v>
      </c>
      <c r="G5" s="279">
        <v>0.30944042410785233</v>
      </c>
    </row>
    <row r="6" spans="2:7">
      <c r="B6" s="553" t="s">
        <v>367</v>
      </c>
      <c r="C6" s="584">
        <v>78.528367625513539</v>
      </c>
      <c r="D6" s="563">
        <v>36.917292716630214</v>
      </c>
      <c r="E6" s="563">
        <v>59.233773670283767</v>
      </c>
      <c r="F6" s="563">
        <f>D6</f>
        <v>36.917292716630214</v>
      </c>
      <c r="G6" s="563">
        <v>84.488250357286262</v>
      </c>
    </row>
    <row r="7" spans="2:7">
      <c r="B7" s="553" t="s">
        <v>368</v>
      </c>
      <c r="C7" s="584">
        <v>419.22716296198041</v>
      </c>
      <c r="D7" s="563">
        <v>350</v>
      </c>
      <c r="E7" s="563">
        <f>D7</f>
        <v>350</v>
      </c>
      <c r="F7" s="563">
        <f t="shared" ref="F7:G7" si="0">E7</f>
        <v>350</v>
      </c>
      <c r="G7" s="563">
        <f t="shared" si="0"/>
        <v>350</v>
      </c>
    </row>
    <row r="8" spans="2:7">
      <c r="B8" s="553" t="s">
        <v>369</v>
      </c>
      <c r="C8" s="584">
        <v>175</v>
      </c>
      <c r="D8" s="563">
        <v>175</v>
      </c>
      <c r="E8" s="563">
        <v>175</v>
      </c>
      <c r="F8" s="563">
        <v>175</v>
      </c>
      <c r="G8" s="563">
        <v>175</v>
      </c>
    </row>
    <row r="9" spans="2:7">
      <c r="B9" s="553" t="s">
        <v>370</v>
      </c>
      <c r="C9" s="586">
        <f>C8/C7</f>
        <v>0.41743478348007401</v>
      </c>
      <c r="D9" s="562">
        <f t="shared" ref="D9:G9" si="1">D8/D7</f>
        <v>0.5</v>
      </c>
      <c r="E9" s="562">
        <f t="shared" si="1"/>
        <v>0.5</v>
      </c>
      <c r="F9" s="562">
        <f t="shared" si="1"/>
        <v>0.5</v>
      </c>
      <c r="G9" s="562">
        <f t="shared" si="1"/>
        <v>0.5</v>
      </c>
    </row>
    <row r="10" spans="2:7">
      <c r="B10" s="553" t="s">
        <v>61</v>
      </c>
      <c r="C10" s="585">
        <v>0.20874999999999999</v>
      </c>
      <c r="D10" s="279">
        <v>0.20874999999999999</v>
      </c>
      <c r="E10" s="279">
        <f>D10</f>
        <v>0.20874999999999999</v>
      </c>
      <c r="F10" s="279">
        <f t="shared" ref="F10:G10" si="2">E10</f>
        <v>0.20874999999999999</v>
      </c>
      <c r="G10" s="279">
        <f t="shared" si="2"/>
        <v>0.20874999999999999</v>
      </c>
    </row>
    <row r="11" spans="2:7">
      <c r="B11" s="553" t="s">
        <v>371</v>
      </c>
      <c r="C11" s="587">
        <f>1-C9</f>
        <v>0.58256521651992599</v>
      </c>
      <c r="D11" s="348">
        <f t="shared" ref="D11:G11" si="3">1-D9</f>
        <v>0.5</v>
      </c>
      <c r="E11" s="348">
        <f t="shared" si="3"/>
        <v>0.5</v>
      </c>
      <c r="F11" s="348">
        <f t="shared" si="3"/>
        <v>0.5</v>
      </c>
      <c r="G11" s="348">
        <f t="shared" si="3"/>
        <v>0.5</v>
      </c>
    </row>
    <row r="12" spans="2:7">
      <c r="B12" s="553" t="s">
        <v>372</v>
      </c>
      <c r="D12" s="279">
        <v>0.24110656094738703</v>
      </c>
      <c r="E12" s="279">
        <v>0.24110656094738703</v>
      </c>
      <c r="F12" s="279">
        <v>0.28037141481640093</v>
      </c>
      <c r="G12" s="279">
        <f>F12</f>
        <v>0.28037141481640093</v>
      </c>
    </row>
    <row r="13" spans="2:7">
      <c r="B13" s="553" t="s">
        <v>373</v>
      </c>
      <c r="C13" s="550"/>
      <c r="D13" s="563">
        <v>24.588263083730027</v>
      </c>
      <c r="E13" s="563">
        <f>D13</f>
        <v>24.588263083730027</v>
      </c>
      <c r="F13" s="563">
        <v>58.199085885563761</v>
      </c>
      <c r="G13" s="563">
        <f>F13</f>
        <v>58.199085885563761</v>
      </c>
    </row>
    <row r="14" spans="2:7">
      <c r="C14" s="544"/>
      <c r="D14" s="544"/>
      <c r="E14" s="544"/>
      <c r="F14" s="544"/>
      <c r="G14" s="544"/>
    </row>
    <row r="15" spans="2:7">
      <c r="B15" s="287" t="s">
        <v>643</v>
      </c>
    </row>
    <row r="16" spans="2:7">
      <c r="B16" s="535" t="s">
        <v>642</v>
      </c>
    </row>
    <row r="17" spans="2:2">
      <c r="B17" s="535" t="s">
        <v>641</v>
      </c>
    </row>
    <row r="18" spans="2:2">
      <c r="B18" s="535" t="s">
        <v>640</v>
      </c>
    </row>
  </sheetData>
  <mergeCells count="3">
    <mergeCell ref="C2:C3"/>
    <mergeCell ref="D2:E2"/>
    <mergeCell ref="F2:G2"/>
  </mergeCells>
  <pageMargins left="0.511811024" right="0.511811024" top="0.78740157499999996" bottom="0.78740157499999996" header="0.31496062000000002" footer="0.31496062000000002"/>
  <ignoredErrors>
    <ignoredError sqref="F11:H11 G13:H13 G12:H12" formula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626DD-F011-4B32-8FB4-D772277261AA}">
  <sheetPr codeName="Sheet162"/>
  <dimension ref="B2:Q42"/>
  <sheetViews>
    <sheetView showGridLines="0" topLeftCell="A25" zoomScale="120" zoomScaleNormal="120" workbookViewId="0">
      <selection activeCell="C19" sqref="C19"/>
    </sheetView>
  </sheetViews>
  <sheetFormatPr defaultColWidth="9" defaultRowHeight="13.5"/>
  <cols>
    <col min="1" max="1" width="9" style="287"/>
    <col min="2" max="2" width="2.625" style="287" customWidth="1"/>
    <col min="3" max="3" width="31.125" style="287" customWidth="1"/>
    <col min="4" max="14" width="7.875" style="336" customWidth="1"/>
    <col min="15" max="16384" width="9" style="287"/>
  </cols>
  <sheetData>
    <row r="2" spans="2:17" s="336" customFormat="1">
      <c r="B2" s="547" t="s">
        <v>341</v>
      </c>
      <c r="C2" s="547"/>
      <c r="D2" s="537">
        <v>0</v>
      </c>
      <c r="E2" s="537">
        <v>1</v>
      </c>
      <c r="F2" s="537">
        <v>2</v>
      </c>
      <c r="G2" s="537">
        <v>3</v>
      </c>
      <c r="H2" s="537">
        <v>4</v>
      </c>
      <c r="I2" s="537">
        <v>5</v>
      </c>
      <c r="J2" s="537">
        <v>6</v>
      </c>
      <c r="K2" s="537">
        <v>7</v>
      </c>
      <c r="L2" s="537">
        <v>8</v>
      </c>
      <c r="M2" s="537">
        <v>9</v>
      </c>
      <c r="N2" s="537">
        <v>10</v>
      </c>
    </row>
    <row r="3" spans="2:17">
      <c r="C3" s="553" t="s">
        <v>334</v>
      </c>
      <c r="D3" s="555"/>
      <c r="E3" s="555">
        <v>60</v>
      </c>
      <c r="F3" s="555">
        <f>E3*(1+8%)</f>
        <v>64.800000000000011</v>
      </c>
      <c r="G3" s="555">
        <f t="shared" ref="G3:N3" si="0">F3*(1+8%)</f>
        <v>69.984000000000023</v>
      </c>
      <c r="H3" s="555">
        <f t="shared" si="0"/>
        <v>75.582720000000023</v>
      </c>
      <c r="I3" s="555">
        <f t="shared" si="0"/>
        <v>81.629337600000028</v>
      </c>
      <c r="J3" s="555">
        <f t="shared" si="0"/>
        <v>88.159684608000035</v>
      </c>
      <c r="K3" s="555">
        <f t="shared" si="0"/>
        <v>95.212459376640041</v>
      </c>
      <c r="L3" s="555">
        <f t="shared" si="0"/>
        <v>102.82945612677125</v>
      </c>
      <c r="M3" s="555">
        <f t="shared" si="0"/>
        <v>111.05581261691296</v>
      </c>
      <c r="N3" s="555">
        <f t="shared" si="0"/>
        <v>119.94027762626601</v>
      </c>
      <c r="O3" s="537"/>
      <c r="P3" s="537"/>
    </row>
    <row r="4" spans="2:17">
      <c r="C4" s="553" t="s">
        <v>335</v>
      </c>
      <c r="D4" s="555">
        <v>-450</v>
      </c>
      <c r="E4" s="548"/>
      <c r="F4" s="548"/>
      <c r="G4" s="548"/>
      <c r="H4" s="548"/>
      <c r="I4" s="548"/>
      <c r="J4" s="548"/>
      <c r="K4" s="548"/>
      <c r="L4" s="548"/>
      <c r="M4" s="548"/>
      <c r="N4" s="548"/>
    </row>
    <row r="5" spans="2:17">
      <c r="C5" s="556" t="s">
        <v>336</v>
      </c>
      <c r="D5" s="548"/>
      <c r="E5" s="548"/>
      <c r="F5" s="548"/>
      <c r="G5" s="548"/>
      <c r="H5" s="548"/>
      <c r="I5" s="548"/>
      <c r="J5" s="548"/>
      <c r="K5" s="548"/>
      <c r="L5" s="548"/>
      <c r="M5" s="548"/>
      <c r="N5" s="575">
        <f>N3*(1+I11)/(I10-I11)</f>
        <v>979.92329066142202</v>
      </c>
    </row>
    <row r="6" spans="2:17" s="323" customFormat="1">
      <c r="C6" s="558" t="s">
        <v>304</v>
      </c>
      <c r="D6" s="559">
        <f>D4</f>
        <v>-450</v>
      </c>
      <c r="E6" s="559">
        <f t="shared" ref="E6:M6" si="1">E3</f>
        <v>60</v>
      </c>
      <c r="F6" s="559">
        <f t="shared" si="1"/>
        <v>64.800000000000011</v>
      </c>
      <c r="G6" s="559">
        <f t="shared" si="1"/>
        <v>69.984000000000023</v>
      </c>
      <c r="H6" s="559">
        <f t="shared" si="1"/>
        <v>75.582720000000023</v>
      </c>
      <c r="I6" s="559">
        <f t="shared" si="1"/>
        <v>81.629337600000028</v>
      </c>
      <c r="J6" s="559">
        <f t="shared" si="1"/>
        <v>88.159684608000035</v>
      </c>
      <c r="K6" s="559">
        <f t="shared" si="1"/>
        <v>95.212459376640041</v>
      </c>
      <c r="L6" s="559">
        <f t="shared" si="1"/>
        <v>102.82945612677125</v>
      </c>
      <c r="M6" s="559">
        <f t="shared" si="1"/>
        <v>111.05581261691296</v>
      </c>
      <c r="N6" s="559">
        <f>N5+N3</f>
        <v>1099.8635682876879</v>
      </c>
      <c r="O6" s="539"/>
      <c r="P6" s="539"/>
    </row>
    <row r="7" spans="2:17" s="323" customFormat="1">
      <c r="D7" s="324"/>
      <c r="E7" s="540"/>
      <c r="F7" s="540"/>
      <c r="G7" s="540"/>
      <c r="H7" s="540"/>
      <c r="I7" s="540"/>
      <c r="J7" s="540"/>
      <c r="K7" s="540"/>
      <c r="L7" s="540"/>
      <c r="M7" s="540"/>
      <c r="N7" s="540"/>
      <c r="O7" s="539"/>
      <c r="P7" s="539"/>
    </row>
    <row r="8" spans="2:17">
      <c r="C8" s="561" t="s">
        <v>337</v>
      </c>
      <c r="D8" s="559">
        <f>NPV(I10,E6:N6)</f>
        <v>544.22716296198041</v>
      </c>
      <c r="E8" s="542"/>
      <c r="F8" s="542"/>
      <c r="G8" s="622" t="s">
        <v>339</v>
      </c>
      <c r="H8" s="622"/>
      <c r="I8" s="279">
        <v>0.20874999999999999</v>
      </c>
      <c r="J8" s="542"/>
      <c r="K8" s="542"/>
      <c r="L8" s="542"/>
      <c r="M8" s="542"/>
      <c r="N8" s="542"/>
      <c r="O8" s="543"/>
      <c r="P8" s="543"/>
    </row>
    <row r="9" spans="2:17">
      <c r="C9" s="561" t="s">
        <v>338</v>
      </c>
      <c r="D9" s="559">
        <f>D8+D6</f>
        <v>94.227162961980412</v>
      </c>
      <c r="G9" s="622" t="s">
        <v>340</v>
      </c>
      <c r="H9" s="622"/>
      <c r="I9" s="279">
        <v>0.1</v>
      </c>
      <c r="J9" s="542"/>
      <c r="K9" s="542"/>
      <c r="L9" s="542"/>
      <c r="M9" s="542"/>
      <c r="N9" s="542"/>
      <c r="O9" s="543"/>
      <c r="P9" s="543"/>
    </row>
    <row r="10" spans="2:17">
      <c r="G10" s="622" t="s">
        <v>7</v>
      </c>
      <c r="H10" s="622"/>
      <c r="I10" s="279">
        <v>0.1785175</v>
      </c>
      <c r="J10" s="542"/>
      <c r="K10" s="542"/>
      <c r="L10" s="542"/>
      <c r="M10" s="542"/>
      <c r="N10" s="542"/>
      <c r="O10" s="542"/>
      <c r="P10" s="543"/>
      <c r="Q10" s="543"/>
    </row>
    <row r="11" spans="2:17">
      <c r="C11" s="561" t="s">
        <v>296</v>
      </c>
      <c r="D11" s="282">
        <f>IRR(D6:N6)</f>
        <v>0.2138558379707618</v>
      </c>
      <c r="G11" s="622" t="s">
        <v>236</v>
      </c>
      <c r="H11" s="622"/>
      <c r="I11" s="279">
        <v>0.05</v>
      </c>
      <c r="J11" s="542"/>
      <c r="K11" s="542"/>
      <c r="L11" s="542"/>
      <c r="M11" s="542"/>
      <c r="N11" s="542"/>
      <c r="O11" s="542"/>
      <c r="P11" s="543"/>
      <c r="Q11" s="543"/>
    </row>
    <row r="13" spans="2:17">
      <c r="B13" s="547" t="s">
        <v>342</v>
      </c>
    </row>
    <row r="14" spans="2:17">
      <c r="C14" s="330" t="s">
        <v>374</v>
      </c>
      <c r="D14" s="563">
        <v>125</v>
      </c>
      <c r="E14" s="568"/>
      <c r="F14" s="568"/>
      <c r="G14" s="576">
        <f>-$D$14/4</f>
        <v>-31.25</v>
      </c>
      <c r="H14" s="576">
        <f t="shared" ref="H14:J14" si="2">-$D$14/4</f>
        <v>-31.25</v>
      </c>
      <c r="I14" s="576">
        <f t="shared" si="2"/>
        <v>-31.25</v>
      </c>
      <c r="J14" s="576">
        <f t="shared" si="2"/>
        <v>-31.25</v>
      </c>
      <c r="K14" s="540"/>
      <c r="L14" s="540"/>
      <c r="M14" s="540"/>
      <c r="N14" s="540"/>
    </row>
    <row r="15" spans="2:17">
      <c r="C15" s="330" t="s">
        <v>344</v>
      </c>
      <c r="D15" s="563">
        <f>D14</f>
        <v>125</v>
      </c>
      <c r="E15" s="576">
        <f>D15+E14</f>
        <v>125</v>
      </c>
      <c r="F15" s="576">
        <f t="shared" ref="F15:J15" si="3">E15+F14</f>
        <v>125</v>
      </c>
      <c r="G15" s="576">
        <f t="shared" si="3"/>
        <v>93.75</v>
      </c>
      <c r="H15" s="576">
        <f t="shared" si="3"/>
        <v>62.5</v>
      </c>
      <c r="I15" s="576">
        <f t="shared" si="3"/>
        <v>31.25</v>
      </c>
      <c r="J15" s="576">
        <f t="shared" si="3"/>
        <v>0</v>
      </c>
      <c r="K15" s="540"/>
      <c r="L15" s="540"/>
      <c r="M15" s="540"/>
      <c r="N15" s="540"/>
    </row>
    <row r="16" spans="2:17">
      <c r="C16" s="330" t="s">
        <v>155</v>
      </c>
      <c r="D16" s="566"/>
      <c r="E16" s="576">
        <f>-D15*$I$9</f>
        <v>-12.5</v>
      </c>
      <c r="F16" s="576">
        <f t="shared" ref="F16:J16" si="4">-E15*$I$9</f>
        <v>-12.5</v>
      </c>
      <c r="G16" s="576">
        <f t="shared" si="4"/>
        <v>-12.5</v>
      </c>
      <c r="H16" s="576">
        <f t="shared" si="4"/>
        <v>-9.375</v>
      </c>
      <c r="I16" s="576">
        <f t="shared" si="4"/>
        <v>-6.25</v>
      </c>
      <c r="J16" s="576">
        <f t="shared" si="4"/>
        <v>-3.125</v>
      </c>
      <c r="O16" s="573"/>
      <c r="P16" s="573"/>
    </row>
    <row r="17" spans="2:16">
      <c r="C17" s="327" t="s">
        <v>53</v>
      </c>
      <c r="D17" s="577">
        <f>D16+D14</f>
        <v>125</v>
      </c>
      <c r="E17" s="577">
        <f t="shared" ref="E17:J17" si="5">E16+E14</f>
        <v>-12.5</v>
      </c>
      <c r="F17" s="577">
        <f t="shared" si="5"/>
        <v>-12.5</v>
      </c>
      <c r="G17" s="577">
        <f t="shared" si="5"/>
        <v>-43.75</v>
      </c>
      <c r="H17" s="577">
        <f t="shared" si="5"/>
        <v>-40.625</v>
      </c>
      <c r="I17" s="577">
        <f t="shared" si="5"/>
        <v>-37.5</v>
      </c>
      <c r="J17" s="577">
        <f t="shared" si="5"/>
        <v>-34.375</v>
      </c>
      <c r="O17" s="573"/>
      <c r="P17" s="573"/>
    </row>
    <row r="18" spans="2:16">
      <c r="D18" s="360"/>
      <c r="O18" s="573"/>
      <c r="P18" s="573"/>
    </row>
    <row r="19" spans="2:16">
      <c r="B19" s="538" t="s">
        <v>375</v>
      </c>
      <c r="C19" s="538"/>
      <c r="D19" s="360"/>
      <c r="O19" s="573"/>
      <c r="P19" s="573"/>
    </row>
    <row r="20" spans="2:16">
      <c r="C20" s="330" t="s">
        <v>376</v>
      </c>
      <c r="D20" s="567">
        <f>-E40</f>
        <v>-175</v>
      </c>
      <c r="E20" s="567">
        <f>(+E6+E17)*$D41</f>
        <v>23.75</v>
      </c>
      <c r="F20" s="567">
        <f>(+F6+F17)*$D41</f>
        <v>26.150000000000006</v>
      </c>
      <c r="G20" s="567">
        <f>(+G6+G17)*$D41</f>
        <v>13.117000000000012</v>
      </c>
      <c r="H20" s="567">
        <f>(+H6+H17)*$D41</f>
        <v>17.478860000000012</v>
      </c>
      <c r="I20" s="567">
        <f>(+I6+I17)*$D41*70%</f>
        <v>15.445268160000008</v>
      </c>
      <c r="J20" s="567">
        <f t="shared" ref="J20:K20" si="6">(+J6+J17)*$D41*70%</f>
        <v>18.824639612800009</v>
      </c>
      <c r="K20" s="567">
        <f t="shared" si="6"/>
        <v>33.324360781824012</v>
      </c>
      <c r="L20" s="567">
        <f>(+L6+L17)</f>
        <v>102.82945612677125</v>
      </c>
      <c r="M20" s="567">
        <f t="shared" ref="M20:N20" si="7">(+M6+M17)</f>
        <v>111.05581261691296</v>
      </c>
      <c r="N20" s="567">
        <f t="shared" si="7"/>
        <v>1099.8635682876879</v>
      </c>
      <c r="O20" s="573"/>
      <c r="P20" s="573"/>
    </row>
    <row r="21" spans="2:16">
      <c r="C21" s="330" t="s">
        <v>377</v>
      </c>
      <c r="D21" s="550"/>
      <c r="E21" s="551"/>
      <c r="F21" s="551"/>
      <c r="G21" s="551"/>
      <c r="H21" s="567">
        <f>H6*7*30%*D41</f>
        <v>79.361856000000031</v>
      </c>
      <c r="I21" s="551"/>
      <c r="J21" s="551"/>
      <c r="K21" s="551"/>
      <c r="L21" s="551"/>
      <c r="M21" s="551"/>
      <c r="N21" s="551"/>
      <c r="O21" s="573"/>
      <c r="P21" s="573"/>
    </row>
    <row r="22" spans="2:16">
      <c r="C22" s="564" t="s">
        <v>378</v>
      </c>
      <c r="D22" s="552"/>
      <c r="E22" s="552"/>
      <c r="F22" s="552"/>
      <c r="G22" s="552"/>
      <c r="H22" s="552"/>
      <c r="I22" s="552"/>
      <c r="J22" s="552"/>
      <c r="K22" s="578">
        <f>70%*(K6*10)*D41</f>
        <v>333.24360781824009</v>
      </c>
      <c r="L22" s="551"/>
      <c r="M22" s="551"/>
      <c r="N22" s="551"/>
      <c r="O22" s="573"/>
      <c r="P22" s="573"/>
    </row>
    <row r="23" spans="2:16">
      <c r="C23" s="327" t="s">
        <v>375</v>
      </c>
      <c r="D23" s="579">
        <f>SUM(D20:D22)</f>
        <v>-175</v>
      </c>
      <c r="E23" s="579">
        <f t="shared" ref="E23:K23" si="8">SUM(E20:E22)</f>
        <v>23.75</v>
      </c>
      <c r="F23" s="579">
        <f t="shared" si="8"/>
        <v>26.150000000000006</v>
      </c>
      <c r="G23" s="579">
        <f t="shared" si="8"/>
        <v>13.117000000000012</v>
      </c>
      <c r="H23" s="579">
        <f t="shared" si="8"/>
        <v>96.840716000000043</v>
      </c>
      <c r="I23" s="579">
        <f t="shared" si="8"/>
        <v>15.445268160000008</v>
      </c>
      <c r="J23" s="579">
        <f t="shared" si="8"/>
        <v>18.824639612800009</v>
      </c>
      <c r="K23" s="579">
        <f t="shared" si="8"/>
        <v>366.56796860006409</v>
      </c>
      <c r="L23" s="574"/>
      <c r="M23" s="574"/>
      <c r="N23" s="574"/>
      <c r="O23" s="573"/>
      <c r="P23" s="573"/>
    </row>
    <row r="24" spans="2:16">
      <c r="C24" s="561" t="s">
        <v>379</v>
      </c>
      <c r="D24" s="580">
        <f>NPV(I9,E23:K23)+D23</f>
        <v>152.52463125291195</v>
      </c>
      <c r="E24" s="551"/>
      <c r="F24" s="551"/>
      <c r="G24" s="551"/>
      <c r="H24" s="551"/>
      <c r="I24" s="551"/>
      <c r="J24" s="551"/>
      <c r="K24" s="551"/>
      <c r="L24" s="551"/>
      <c r="M24" s="551"/>
      <c r="N24" s="551"/>
      <c r="O24" s="573"/>
      <c r="P24" s="573"/>
    </row>
    <row r="25" spans="2:16">
      <c r="C25" s="561" t="s">
        <v>380</v>
      </c>
      <c r="D25" s="581">
        <f>IRR(D23:K23)</f>
        <v>0.24110656094738703</v>
      </c>
      <c r="O25" s="573"/>
      <c r="P25" s="573"/>
    </row>
    <row r="26" spans="2:16">
      <c r="D26" s="351"/>
      <c r="E26" s="545"/>
      <c r="O26" s="336"/>
    </row>
    <row r="27" spans="2:16">
      <c r="B27" s="538" t="s">
        <v>384</v>
      </c>
      <c r="O27" s="336"/>
    </row>
    <row r="28" spans="2:16">
      <c r="C28" s="570" t="s">
        <v>265</v>
      </c>
      <c r="D28" s="582">
        <v>-150</v>
      </c>
      <c r="E28" s="567">
        <f t="shared" ref="E28:N28" si="9">(E6+E17)*(1-$D$41)</f>
        <v>23.75</v>
      </c>
      <c r="F28" s="567">
        <f t="shared" si="9"/>
        <v>26.150000000000006</v>
      </c>
      <c r="G28" s="567">
        <f t="shared" si="9"/>
        <v>13.117000000000012</v>
      </c>
      <c r="H28" s="567">
        <f t="shared" si="9"/>
        <v>17.478860000000012</v>
      </c>
      <c r="I28" s="567">
        <f t="shared" si="9"/>
        <v>22.064668800000014</v>
      </c>
      <c r="J28" s="567">
        <f t="shared" si="9"/>
        <v>26.892342304000017</v>
      </c>
      <c r="K28" s="567">
        <f t="shared" si="9"/>
        <v>47.60622968832002</v>
      </c>
      <c r="L28" s="567">
        <f t="shared" si="9"/>
        <v>51.414728063385624</v>
      </c>
      <c r="M28" s="567">
        <f t="shared" si="9"/>
        <v>55.52790630845648</v>
      </c>
      <c r="N28" s="567">
        <f t="shared" si="9"/>
        <v>549.93178414384397</v>
      </c>
      <c r="O28" s="336"/>
    </row>
    <row r="29" spans="2:16">
      <c r="C29" s="561" t="s">
        <v>385</v>
      </c>
      <c r="D29" s="583">
        <f>NPV(I8,E28:N28)+D28</f>
        <v>36.917292716630214</v>
      </c>
      <c r="E29" s="551"/>
      <c r="F29" s="551"/>
      <c r="G29" s="551"/>
      <c r="H29" s="551"/>
      <c r="I29" s="551"/>
      <c r="J29" s="551"/>
      <c r="K29" s="551"/>
      <c r="L29" s="551"/>
      <c r="M29" s="551"/>
      <c r="N29" s="551"/>
      <c r="O29" s="336"/>
    </row>
    <row r="30" spans="2:16">
      <c r="C30" s="561" t="s">
        <v>386</v>
      </c>
      <c r="D30" s="581">
        <f>IRR(D28:N28)</f>
        <v>0.24872826613467125</v>
      </c>
      <c r="O30" s="336"/>
    </row>
    <row r="31" spans="2:16">
      <c r="C31" s="546"/>
      <c r="D31" s="351"/>
      <c r="E31" s="545"/>
      <c r="O31" s="336"/>
    </row>
    <row r="32" spans="2:16">
      <c r="C32" s="570" t="s">
        <v>387</v>
      </c>
      <c r="D32" s="582">
        <f>D28</f>
        <v>-150</v>
      </c>
      <c r="E32" s="567">
        <f>E28</f>
        <v>23.75</v>
      </c>
      <c r="F32" s="567">
        <f t="shared" ref="F32:J32" si="10">F28</f>
        <v>26.150000000000006</v>
      </c>
      <c r="G32" s="567">
        <f t="shared" si="10"/>
        <v>13.117000000000012</v>
      </c>
      <c r="H32" s="567">
        <f t="shared" si="10"/>
        <v>17.478860000000012</v>
      </c>
      <c r="I32" s="567">
        <f t="shared" si="10"/>
        <v>22.064668800000014</v>
      </c>
      <c r="J32" s="567">
        <f t="shared" si="10"/>
        <v>26.892342304000017</v>
      </c>
      <c r="K32" s="567">
        <f>K28+K33</f>
        <v>523.66852657152026</v>
      </c>
      <c r="L32" s="551"/>
      <c r="M32" s="551"/>
      <c r="N32" s="551"/>
      <c r="O32" s="336"/>
    </row>
    <row r="33" spans="2:15">
      <c r="C33" s="561" t="s">
        <v>385</v>
      </c>
      <c r="D33" s="583">
        <f>NPV(I9,E32:K32)+D32</f>
        <v>212.60097731164768</v>
      </c>
      <c r="E33" s="551"/>
      <c r="F33" s="551"/>
      <c r="G33" s="551"/>
      <c r="H33" s="551"/>
      <c r="I33" s="551"/>
      <c r="J33" s="551"/>
      <c r="K33" s="567">
        <f>K28*10</f>
        <v>476.06229688320019</v>
      </c>
      <c r="L33" s="551"/>
      <c r="M33" s="551"/>
      <c r="N33" s="551"/>
      <c r="O33" s="336"/>
    </row>
    <row r="34" spans="2:15">
      <c r="C34" s="561" t="s">
        <v>386</v>
      </c>
      <c r="D34" s="581">
        <f>IRR(D32:K32)</f>
        <v>0.28451699273039521</v>
      </c>
      <c r="O34" s="336"/>
    </row>
    <row r="35" spans="2:15">
      <c r="C35" s="541"/>
      <c r="D35" s="351"/>
      <c r="E35" s="545"/>
      <c r="O35" s="336"/>
    </row>
    <row r="36" spans="2:15">
      <c r="B36" s="538" t="s">
        <v>107</v>
      </c>
      <c r="C36" s="538"/>
      <c r="O36" s="336"/>
    </row>
    <row r="37" spans="2:15">
      <c r="C37" s="570" t="s">
        <v>60</v>
      </c>
      <c r="D37" s="562">
        <f>E37/(E37+E38)</f>
        <v>0.45454545454545453</v>
      </c>
      <c r="E37" s="563">
        <v>125</v>
      </c>
      <c r="F37" s="571" t="s">
        <v>639</v>
      </c>
      <c r="O37" s="336"/>
    </row>
    <row r="38" spans="2:15">
      <c r="C38" s="570" t="s">
        <v>352</v>
      </c>
      <c r="D38" s="562">
        <f>1-D37</f>
        <v>0.54545454545454541</v>
      </c>
      <c r="E38" s="563">
        <v>150</v>
      </c>
      <c r="F38" s="571" t="s">
        <v>353</v>
      </c>
      <c r="O38" s="336"/>
    </row>
    <row r="39" spans="2:15">
      <c r="C39" s="570" t="s">
        <v>354</v>
      </c>
      <c r="D39" s="350"/>
      <c r="E39" s="563">
        <f>5*E6-E37</f>
        <v>175</v>
      </c>
      <c r="F39" s="535" t="s">
        <v>381</v>
      </c>
      <c r="O39" s="336"/>
    </row>
    <row r="40" spans="2:15">
      <c r="C40" s="570" t="s">
        <v>356</v>
      </c>
      <c r="D40" s="350"/>
      <c r="E40" s="563">
        <f>-D6-E37-E38</f>
        <v>175</v>
      </c>
      <c r="F40" s="571" t="s">
        <v>357</v>
      </c>
      <c r="O40" s="336"/>
    </row>
    <row r="41" spans="2:15">
      <c r="C41" s="570" t="s">
        <v>382</v>
      </c>
      <c r="D41" s="562">
        <f>E40/E41</f>
        <v>0.5</v>
      </c>
      <c r="E41" s="567">
        <f>E39+E40</f>
        <v>350</v>
      </c>
      <c r="F41" s="571" t="s">
        <v>355</v>
      </c>
      <c r="O41" s="336"/>
    </row>
    <row r="42" spans="2:15">
      <c r="C42" s="570" t="s">
        <v>358</v>
      </c>
      <c r="D42" s="562">
        <f>E42/E41</f>
        <v>0.5</v>
      </c>
      <c r="E42" s="563">
        <f>E41-E40</f>
        <v>175</v>
      </c>
      <c r="F42" s="571" t="s">
        <v>383</v>
      </c>
    </row>
  </sheetData>
  <mergeCells count="4">
    <mergeCell ref="G8:H8"/>
    <mergeCell ref="G9:H9"/>
    <mergeCell ref="G10:H10"/>
    <mergeCell ref="G11:H11"/>
  </mergeCells>
  <pageMargins left="0.511811024" right="0.511811024" top="0.78740157499999996" bottom="0.78740157499999996" header="0.31496062000000002" footer="0.3149606200000000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FF3C2-05E0-4559-842F-F841CE0B33E2}">
  <sheetPr codeName="Sheet163"/>
  <dimension ref="B2:Q42"/>
  <sheetViews>
    <sheetView showGridLines="0" zoomScale="120" zoomScaleNormal="120" workbookViewId="0">
      <selection activeCell="C19" sqref="C19"/>
    </sheetView>
  </sheetViews>
  <sheetFormatPr defaultColWidth="9" defaultRowHeight="13.5"/>
  <cols>
    <col min="1" max="1" width="9" style="287"/>
    <col min="2" max="2" width="2.625" style="287" customWidth="1"/>
    <col min="3" max="3" width="31.125" style="287" customWidth="1"/>
    <col min="4" max="14" width="7.875" style="336" customWidth="1"/>
    <col min="15" max="16384" width="9" style="287"/>
  </cols>
  <sheetData>
    <row r="2" spans="2:17" s="336" customFormat="1">
      <c r="B2" s="547" t="s">
        <v>341</v>
      </c>
      <c r="C2" s="547"/>
      <c r="D2" s="537">
        <v>0</v>
      </c>
      <c r="E2" s="537">
        <v>1</v>
      </c>
      <c r="F2" s="537">
        <v>2</v>
      </c>
      <c r="G2" s="537">
        <v>3</v>
      </c>
      <c r="H2" s="537">
        <v>4</v>
      </c>
      <c r="I2" s="537">
        <v>5</v>
      </c>
      <c r="J2" s="537">
        <v>6</v>
      </c>
      <c r="K2" s="537">
        <v>7</v>
      </c>
      <c r="L2" s="537">
        <v>8</v>
      </c>
      <c r="M2" s="537">
        <v>9</v>
      </c>
      <c r="N2" s="537">
        <v>10</v>
      </c>
    </row>
    <row r="3" spans="2:17">
      <c r="C3" s="553" t="s">
        <v>334</v>
      </c>
      <c r="D3" s="555"/>
      <c r="E3" s="555">
        <v>60</v>
      </c>
      <c r="F3" s="555">
        <f>E3*(1+8%)</f>
        <v>64.800000000000011</v>
      </c>
      <c r="G3" s="555">
        <f t="shared" ref="G3:N3" si="0">F3*(1+8%)</f>
        <v>69.984000000000023</v>
      </c>
      <c r="H3" s="555">
        <f t="shared" si="0"/>
        <v>75.582720000000023</v>
      </c>
      <c r="I3" s="555">
        <f t="shared" si="0"/>
        <v>81.629337600000028</v>
      </c>
      <c r="J3" s="555">
        <f t="shared" si="0"/>
        <v>88.159684608000035</v>
      </c>
      <c r="K3" s="555">
        <f t="shared" si="0"/>
        <v>95.212459376640041</v>
      </c>
      <c r="L3" s="555">
        <f t="shared" si="0"/>
        <v>102.82945612677125</v>
      </c>
      <c r="M3" s="555">
        <f t="shared" si="0"/>
        <v>111.05581261691296</v>
      </c>
      <c r="N3" s="555">
        <f t="shared" si="0"/>
        <v>119.94027762626601</v>
      </c>
      <c r="O3" s="537"/>
      <c r="P3" s="537"/>
    </row>
    <row r="4" spans="2:17">
      <c r="C4" s="553" t="s">
        <v>335</v>
      </c>
      <c r="D4" s="555">
        <v>-450</v>
      </c>
      <c r="E4" s="548"/>
      <c r="F4" s="548"/>
      <c r="G4" s="548"/>
      <c r="H4" s="548"/>
      <c r="I4" s="548"/>
      <c r="J4" s="548"/>
      <c r="K4" s="548"/>
      <c r="L4" s="548"/>
      <c r="M4" s="548"/>
      <c r="N4" s="548"/>
    </row>
    <row r="5" spans="2:17">
      <c r="C5" s="556" t="s">
        <v>336</v>
      </c>
      <c r="D5" s="548"/>
      <c r="E5" s="548"/>
      <c r="F5" s="548"/>
      <c r="G5" s="548"/>
      <c r="H5" s="548"/>
      <c r="I5" s="548"/>
      <c r="J5" s="548"/>
      <c r="K5" s="548"/>
      <c r="L5" s="548"/>
      <c r="M5" s="548"/>
      <c r="N5" s="575">
        <f>N3*(1+I11)/(I10-I11)</f>
        <v>979.92329066142202</v>
      </c>
    </row>
    <row r="6" spans="2:17" s="323" customFormat="1">
      <c r="C6" s="558" t="s">
        <v>304</v>
      </c>
      <c r="D6" s="559">
        <f>D4</f>
        <v>-450</v>
      </c>
      <c r="E6" s="559">
        <f t="shared" ref="E6:M6" si="1">E3</f>
        <v>60</v>
      </c>
      <c r="F6" s="559">
        <f t="shared" si="1"/>
        <v>64.800000000000011</v>
      </c>
      <c r="G6" s="559">
        <f t="shared" si="1"/>
        <v>69.984000000000023</v>
      </c>
      <c r="H6" s="559">
        <f t="shared" si="1"/>
        <v>75.582720000000023</v>
      </c>
      <c r="I6" s="559">
        <f t="shared" si="1"/>
        <v>81.629337600000028</v>
      </c>
      <c r="J6" s="559">
        <f t="shared" si="1"/>
        <v>88.159684608000035</v>
      </c>
      <c r="K6" s="559">
        <f t="shared" si="1"/>
        <v>95.212459376640041</v>
      </c>
      <c r="L6" s="559">
        <f t="shared" si="1"/>
        <v>102.82945612677125</v>
      </c>
      <c r="M6" s="559">
        <f t="shared" si="1"/>
        <v>111.05581261691296</v>
      </c>
      <c r="N6" s="559">
        <f>N5+N3</f>
        <v>1099.8635682876879</v>
      </c>
      <c r="O6" s="539"/>
      <c r="P6" s="539"/>
    </row>
    <row r="7" spans="2:17" s="323" customFormat="1">
      <c r="D7" s="324"/>
      <c r="E7" s="540"/>
      <c r="F7" s="540"/>
      <c r="G7" s="540"/>
      <c r="H7" s="540"/>
      <c r="I7" s="540"/>
      <c r="J7" s="540"/>
      <c r="K7" s="540"/>
      <c r="L7" s="540"/>
      <c r="M7" s="540"/>
      <c r="N7" s="540"/>
      <c r="O7" s="539"/>
      <c r="P7" s="539"/>
    </row>
    <row r="8" spans="2:17">
      <c r="C8" s="561" t="s">
        <v>337</v>
      </c>
      <c r="D8" s="559">
        <f>NPV(I10,E6:N6)</f>
        <v>544.22716296198041</v>
      </c>
      <c r="E8" s="542"/>
      <c r="F8" s="542"/>
      <c r="G8" s="622" t="s">
        <v>339</v>
      </c>
      <c r="H8" s="622"/>
      <c r="I8" s="279">
        <v>0.20874999999999999</v>
      </c>
      <c r="J8" s="542"/>
      <c r="K8" s="542"/>
      <c r="L8" s="542"/>
      <c r="M8" s="542"/>
      <c r="N8" s="542"/>
      <c r="O8" s="543"/>
      <c r="P8" s="543"/>
    </row>
    <row r="9" spans="2:17">
      <c r="C9" s="561" t="s">
        <v>338</v>
      </c>
      <c r="D9" s="559">
        <f>D8+D6</f>
        <v>94.227162961980412</v>
      </c>
      <c r="G9" s="622" t="s">
        <v>340</v>
      </c>
      <c r="H9" s="622"/>
      <c r="I9" s="279">
        <v>0.1</v>
      </c>
      <c r="J9" s="542"/>
      <c r="K9" s="542"/>
      <c r="L9" s="542"/>
      <c r="M9" s="542"/>
      <c r="N9" s="542"/>
      <c r="O9" s="543"/>
      <c r="P9" s="543"/>
    </row>
    <row r="10" spans="2:17">
      <c r="G10" s="622" t="s">
        <v>7</v>
      </c>
      <c r="H10" s="622"/>
      <c r="I10" s="279">
        <v>0.1785175</v>
      </c>
      <c r="J10" s="542"/>
      <c r="K10" s="542"/>
      <c r="L10" s="542"/>
      <c r="M10" s="542"/>
      <c r="N10" s="542"/>
      <c r="O10" s="542"/>
      <c r="P10" s="543"/>
      <c r="Q10" s="543"/>
    </row>
    <row r="11" spans="2:17">
      <c r="C11" s="561" t="s">
        <v>296</v>
      </c>
      <c r="D11" s="282">
        <f>IRR(D6:N6)</f>
        <v>0.2138558379707618</v>
      </c>
      <c r="G11" s="622" t="s">
        <v>236</v>
      </c>
      <c r="H11" s="622"/>
      <c r="I11" s="279">
        <v>0.05</v>
      </c>
      <c r="J11" s="542"/>
      <c r="K11" s="542"/>
      <c r="L11" s="542"/>
      <c r="M11" s="542"/>
      <c r="N11" s="542"/>
      <c r="O11" s="542"/>
      <c r="P11" s="543"/>
      <c r="Q11" s="543"/>
    </row>
    <row r="13" spans="2:17">
      <c r="B13" s="547" t="s">
        <v>342</v>
      </c>
    </row>
    <row r="14" spans="2:17">
      <c r="C14" s="330" t="s">
        <v>374</v>
      </c>
      <c r="D14" s="563">
        <v>125</v>
      </c>
      <c r="E14" s="568"/>
      <c r="F14" s="568"/>
      <c r="G14" s="576">
        <f>-$D$14/4</f>
        <v>-31.25</v>
      </c>
      <c r="H14" s="576">
        <f t="shared" ref="H14:J14" si="2">-$D$14/4</f>
        <v>-31.25</v>
      </c>
      <c r="I14" s="576">
        <f t="shared" si="2"/>
        <v>-31.25</v>
      </c>
      <c r="J14" s="576">
        <f t="shared" si="2"/>
        <v>-31.25</v>
      </c>
      <c r="K14" s="540"/>
      <c r="L14" s="540"/>
      <c r="M14" s="540"/>
      <c r="N14" s="540"/>
    </row>
    <row r="15" spans="2:17">
      <c r="C15" s="330" t="s">
        <v>344</v>
      </c>
      <c r="D15" s="563">
        <f>D14</f>
        <v>125</v>
      </c>
      <c r="E15" s="576">
        <f>D15+E14</f>
        <v>125</v>
      </c>
      <c r="F15" s="576">
        <f t="shared" ref="F15:J15" si="3">E15+F14</f>
        <v>125</v>
      </c>
      <c r="G15" s="576">
        <f t="shared" si="3"/>
        <v>93.75</v>
      </c>
      <c r="H15" s="576">
        <f t="shared" si="3"/>
        <v>62.5</v>
      </c>
      <c r="I15" s="576">
        <f t="shared" si="3"/>
        <v>31.25</v>
      </c>
      <c r="J15" s="576">
        <f t="shared" si="3"/>
        <v>0</v>
      </c>
      <c r="K15" s="540"/>
      <c r="L15" s="540"/>
      <c r="M15" s="540"/>
      <c r="N15" s="540"/>
    </row>
    <row r="16" spans="2:17">
      <c r="C16" s="330" t="s">
        <v>155</v>
      </c>
      <c r="D16" s="566"/>
      <c r="E16" s="576">
        <f>-D15*$I$9</f>
        <v>-12.5</v>
      </c>
      <c r="F16" s="576">
        <f t="shared" ref="F16:J16" si="4">-E15*$I$9</f>
        <v>-12.5</v>
      </c>
      <c r="G16" s="576">
        <f t="shared" si="4"/>
        <v>-12.5</v>
      </c>
      <c r="H16" s="576">
        <f t="shared" si="4"/>
        <v>-9.375</v>
      </c>
      <c r="I16" s="576">
        <f t="shared" si="4"/>
        <v>-6.25</v>
      </c>
      <c r="J16" s="576">
        <f t="shared" si="4"/>
        <v>-3.125</v>
      </c>
      <c r="O16" s="573"/>
      <c r="P16" s="573"/>
    </row>
    <row r="17" spans="2:16">
      <c r="C17" s="327" t="s">
        <v>53</v>
      </c>
      <c r="D17" s="577">
        <f>D16+D14</f>
        <v>125</v>
      </c>
      <c r="E17" s="577">
        <f t="shared" ref="E17:J17" si="5">E16+E14</f>
        <v>-12.5</v>
      </c>
      <c r="F17" s="577">
        <f t="shared" si="5"/>
        <v>-12.5</v>
      </c>
      <c r="G17" s="577">
        <f t="shared" si="5"/>
        <v>-43.75</v>
      </c>
      <c r="H17" s="577">
        <f t="shared" si="5"/>
        <v>-40.625</v>
      </c>
      <c r="I17" s="577">
        <f t="shared" si="5"/>
        <v>-37.5</v>
      </c>
      <c r="J17" s="577">
        <f t="shared" si="5"/>
        <v>-34.375</v>
      </c>
      <c r="O17" s="573"/>
      <c r="P17" s="573"/>
    </row>
    <row r="18" spans="2:16">
      <c r="D18" s="360"/>
      <c r="O18" s="573"/>
      <c r="P18" s="573"/>
    </row>
    <row r="19" spans="2:16">
      <c r="B19" s="538" t="s">
        <v>375</v>
      </c>
      <c r="C19" s="538"/>
      <c r="D19" s="360"/>
      <c r="O19" s="573"/>
      <c r="P19" s="573"/>
    </row>
    <row r="20" spans="2:16">
      <c r="C20" s="330" t="s">
        <v>376</v>
      </c>
      <c r="D20" s="567">
        <f>-E40</f>
        <v>-175</v>
      </c>
      <c r="E20" s="567">
        <f>(+E6+E17)*$D41</f>
        <v>23.75</v>
      </c>
      <c r="F20" s="567">
        <f>(+F6+F17)*$D41</f>
        <v>26.150000000000006</v>
      </c>
      <c r="G20" s="567">
        <f>(+G6+G17)*$D41</f>
        <v>13.117000000000012</v>
      </c>
      <c r="H20" s="567">
        <f>(+H6+H17)*$D41</f>
        <v>17.478860000000012</v>
      </c>
      <c r="I20" s="567">
        <f>(+I6+I17)*$D41*70%</f>
        <v>15.445268160000008</v>
      </c>
      <c r="J20" s="567">
        <f t="shared" ref="J20:K20" si="6">(+J6+J17)*$D41*70%</f>
        <v>18.824639612800009</v>
      </c>
      <c r="K20" s="567">
        <f t="shared" si="6"/>
        <v>33.324360781824012</v>
      </c>
      <c r="L20" s="567">
        <f>(+L6+L17)</f>
        <v>102.82945612677125</v>
      </c>
      <c r="M20" s="567">
        <f t="shared" ref="M20:N20" si="7">(+M6+M17)</f>
        <v>111.05581261691296</v>
      </c>
      <c r="N20" s="567">
        <f t="shared" si="7"/>
        <v>1099.8635682876879</v>
      </c>
      <c r="O20" s="573"/>
      <c r="P20" s="573"/>
    </row>
    <row r="21" spans="2:16">
      <c r="C21" s="330" t="s">
        <v>377</v>
      </c>
      <c r="D21" s="550"/>
      <c r="E21" s="551"/>
      <c r="F21" s="551"/>
      <c r="G21" s="551"/>
      <c r="H21" s="567">
        <f>H6*10*30%*D41</f>
        <v>113.37408000000002</v>
      </c>
      <c r="I21" s="551"/>
      <c r="J21" s="551"/>
      <c r="K21" s="551"/>
      <c r="L21" s="551"/>
      <c r="M21" s="551"/>
      <c r="N21" s="551"/>
      <c r="O21" s="573"/>
      <c r="P21" s="573"/>
    </row>
    <row r="22" spans="2:16">
      <c r="C22" s="564" t="s">
        <v>378</v>
      </c>
      <c r="D22" s="552"/>
      <c r="E22" s="552"/>
      <c r="F22" s="552"/>
      <c r="G22" s="552"/>
      <c r="H22" s="552"/>
      <c r="I22" s="552"/>
      <c r="J22" s="552"/>
      <c r="K22" s="578">
        <f>70%*(K6*12)*D41</f>
        <v>399.89232938188815</v>
      </c>
      <c r="L22" s="551"/>
      <c r="M22" s="551"/>
      <c r="N22" s="551"/>
      <c r="O22" s="573"/>
      <c r="P22" s="573"/>
    </row>
    <row r="23" spans="2:16">
      <c r="C23" s="327" t="s">
        <v>375</v>
      </c>
      <c r="D23" s="579">
        <f>SUM(D20:D22)</f>
        <v>-175</v>
      </c>
      <c r="E23" s="579">
        <f t="shared" ref="E23:K23" si="8">SUM(E20:E22)</f>
        <v>23.75</v>
      </c>
      <c r="F23" s="579">
        <f t="shared" si="8"/>
        <v>26.150000000000006</v>
      </c>
      <c r="G23" s="579">
        <f t="shared" si="8"/>
        <v>13.117000000000012</v>
      </c>
      <c r="H23" s="579">
        <f t="shared" si="8"/>
        <v>130.85294000000005</v>
      </c>
      <c r="I23" s="579">
        <f t="shared" si="8"/>
        <v>15.445268160000008</v>
      </c>
      <c r="J23" s="579">
        <f t="shared" si="8"/>
        <v>18.824639612800009</v>
      </c>
      <c r="K23" s="579">
        <f t="shared" si="8"/>
        <v>433.21669016371214</v>
      </c>
      <c r="L23" s="574"/>
      <c r="M23" s="574"/>
      <c r="N23" s="574"/>
      <c r="O23" s="573"/>
      <c r="P23" s="573"/>
    </row>
    <row r="24" spans="2:16">
      <c r="C24" s="561" t="s">
        <v>379</v>
      </c>
      <c r="D24" s="580">
        <f>NPV(I9,E23:K23)+D23</f>
        <v>209.95677043188664</v>
      </c>
      <c r="E24" s="551"/>
      <c r="F24" s="551"/>
      <c r="G24" s="551"/>
      <c r="H24" s="551"/>
      <c r="I24" s="551"/>
      <c r="J24" s="551"/>
      <c r="K24" s="551"/>
      <c r="L24" s="551"/>
      <c r="M24" s="551"/>
      <c r="N24" s="551"/>
      <c r="O24" s="573"/>
      <c r="P24" s="573"/>
    </row>
    <row r="25" spans="2:16">
      <c r="C25" s="561" t="s">
        <v>380</v>
      </c>
      <c r="D25" s="581">
        <f>IRR(D23:K23)</f>
        <v>0.28037141481640093</v>
      </c>
      <c r="O25" s="573"/>
      <c r="P25" s="573"/>
    </row>
    <row r="26" spans="2:16">
      <c r="D26" s="351"/>
      <c r="E26" s="545"/>
      <c r="O26" s="336"/>
    </row>
    <row r="27" spans="2:16">
      <c r="B27" s="538" t="s">
        <v>384</v>
      </c>
      <c r="O27" s="336"/>
    </row>
    <row r="28" spans="2:16">
      <c r="C28" s="570" t="s">
        <v>265</v>
      </c>
      <c r="D28" s="582">
        <v>-150</v>
      </c>
      <c r="E28" s="567">
        <f t="shared" ref="E28:N28" si="9">(E6+E17)*(1-$D$41)</f>
        <v>23.75</v>
      </c>
      <c r="F28" s="567">
        <f t="shared" si="9"/>
        <v>26.150000000000006</v>
      </c>
      <c r="G28" s="567">
        <f t="shared" si="9"/>
        <v>13.117000000000012</v>
      </c>
      <c r="H28" s="567">
        <f t="shared" si="9"/>
        <v>17.478860000000012</v>
      </c>
      <c r="I28" s="567">
        <f t="shared" si="9"/>
        <v>22.064668800000014</v>
      </c>
      <c r="J28" s="567">
        <f t="shared" si="9"/>
        <v>26.892342304000017</v>
      </c>
      <c r="K28" s="567">
        <f t="shared" si="9"/>
        <v>47.60622968832002</v>
      </c>
      <c r="L28" s="567">
        <f t="shared" si="9"/>
        <v>51.414728063385624</v>
      </c>
      <c r="M28" s="567">
        <f t="shared" si="9"/>
        <v>55.52790630845648</v>
      </c>
      <c r="N28" s="567">
        <f t="shared" si="9"/>
        <v>549.93178414384397</v>
      </c>
      <c r="O28" s="336"/>
    </row>
    <row r="29" spans="2:16">
      <c r="C29" s="561" t="s">
        <v>385</v>
      </c>
      <c r="D29" s="583">
        <f>NPV(I8,E28:N28)+D28</f>
        <v>36.917292716630214</v>
      </c>
      <c r="E29" s="551"/>
      <c r="F29" s="551"/>
      <c r="G29" s="551"/>
      <c r="H29" s="551"/>
      <c r="I29" s="551"/>
      <c r="J29" s="551"/>
      <c r="K29" s="551"/>
      <c r="L29" s="551"/>
      <c r="M29" s="551"/>
      <c r="N29" s="551"/>
      <c r="O29" s="336"/>
    </row>
    <row r="30" spans="2:16">
      <c r="C30" s="561" t="s">
        <v>386</v>
      </c>
      <c r="D30" s="581">
        <f>IRR(D28:N28)</f>
        <v>0.24872826613467125</v>
      </c>
      <c r="O30" s="336"/>
    </row>
    <row r="31" spans="2:16">
      <c r="C31" s="546"/>
      <c r="D31" s="351"/>
      <c r="E31" s="545"/>
      <c r="O31" s="336"/>
    </row>
    <row r="32" spans="2:16">
      <c r="C32" s="570" t="s">
        <v>387</v>
      </c>
      <c r="D32" s="582">
        <f>D28</f>
        <v>-150</v>
      </c>
      <c r="E32" s="567">
        <f>E28</f>
        <v>23.75</v>
      </c>
      <c r="F32" s="567">
        <f t="shared" ref="F32:J32" si="10">F28</f>
        <v>26.150000000000006</v>
      </c>
      <c r="G32" s="567">
        <f t="shared" si="10"/>
        <v>13.117000000000012</v>
      </c>
      <c r="H32" s="567">
        <f t="shared" si="10"/>
        <v>17.478860000000012</v>
      </c>
      <c r="I32" s="567">
        <f t="shared" si="10"/>
        <v>22.064668800000014</v>
      </c>
      <c r="J32" s="567">
        <f t="shared" si="10"/>
        <v>26.892342304000017</v>
      </c>
      <c r="K32" s="567">
        <f>K28+K33</f>
        <v>618.88098594816029</v>
      </c>
      <c r="L32" s="551"/>
      <c r="M32" s="551"/>
      <c r="N32" s="551"/>
      <c r="O32" s="336"/>
    </row>
    <row r="33" spans="2:15">
      <c r="C33" s="561" t="s">
        <v>385</v>
      </c>
      <c r="D33" s="583">
        <f>NPV(I9,E32:K32)+D32</f>
        <v>261.46002379748188</v>
      </c>
      <c r="E33" s="551"/>
      <c r="F33" s="551"/>
      <c r="G33" s="551"/>
      <c r="H33" s="551"/>
      <c r="I33" s="551"/>
      <c r="J33" s="551"/>
      <c r="K33" s="567">
        <f>K28*12</f>
        <v>571.27475625984027</v>
      </c>
      <c r="L33" s="551"/>
      <c r="M33" s="551"/>
      <c r="N33" s="551"/>
      <c r="O33" s="336"/>
    </row>
    <row r="34" spans="2:15">
      <c r="C34" s="561" t="s">
        <v>386</v>
      </c>
      <c r="D34" s="581">
        <f>IRR(D32:K32)</f>
        <v>0.30944042410785233</v>
      </c>
      <c r="O34" s="336"/>
    </row>
    <row r="35" spans="2:15">
      <c r="C35" s="541"/>
      <c r="D35" s="351"/>
      <c r="E35" s="545"/>
      <c r="O35" s="336"/>
    </row>
    <row r="36" spans="2:15">
      <c r="B36" s="538" t="s">
        <v>107</v>
      </c>
      <c r="C36" s="538"/>
      <c r="O36" s="336"/>
    </row>
    <row r="37" spans="2:15">
      <c r="C37" s="570" t="s">
        <v>60</v>
      </c>
      <c r="D37" s="562">
        <f>E37/(E37+E38)</f>
        <v>0.45454545454545453</v>
      </c>
      <c r="E37" s="563">
        <v>125</v>
      </c>
      <c r="F37" s="571" t="s">
        <v>351</v>
      </c>
      <c r="O37" s="336"/>
    </row>
    <row r="38" spans="2:15">
      <c r="C38" s="570" t="s">
        <v>352</v>
      </c>
      <c r="D38" s="562">
        <f>1-D37</f>
        <v>0.54545454545454541</v>
      </c>
      <c r="E38" s="563">
        <v>150</v>
      </c>
      <c r="F38" s="571" t="s">
        <v>353</v>
      </c>
      <c r="O38" s="336"/>
    </row>
    <row r="39" spans="2:15">
      <c r="C39" s="570" t="s">
        <v>354</v>
      </c>
      <c r="D39" s="350"/>
      <c r="E39" s="563">
        <f>5*E6-E37</f>
        <v>175</v>
      </c>
      <c r="F39" s="535" t="s">
        <v>381</v>
      </c>
      <c r="O39" s="336"/>
    </row>
    <row r="40" spans="2:15">
      <c r="C40" s="570" t="s">
        <v>356</v>
      </c>
      <c r="D40" s="350"/>
      <c r="E40" s="563">
        <f>-D6-E37-E38</f>
        <v>175</v>
      </c>
      <c r="F40" s="571" t="s">
        <v>357</v>
      </c>
      <c r="O40" s="336"/>
    </row>
    <row r="41" spans="2:15">
      <c r="C41" s="570" t="s">
        <v>382</v>
      </c>
      <c r="D41" s="562">
        <f>E40/E41</f>
        <v>0.5</v>
      </c>
      <c r="E41" s="567">
        <f>E39+E40</f>
        <v>350</v>
      </c>
      <c r="F41" s="571" t="s">
        <v>355</v>
      </c>
      <c r="O41" s="336"/>
    </row>
    <row r="42" spans="2:15">
      <c r="C42" s="570" t="s">
        <v>358</v>
      </c>
      <c r="D42" s="562">
        <f>E42/E41</f>
        <v>0.5</v>
      </c>
      <c r="E42" s="563">
        <f>E41-E40</f>
        <v>175</v>
      </c>
      <c r="F42" s="571" t="s">
        <v>383</v>
      </c>
    </row>
  </sheetData>
  <mergeCells count="4">
    <mergeCell ref="G8:H8"/>
    <mergeCell ref="G9:H9"/>
    <mergeCell ref="G10:H10"/>
    <mergeCell ref="G11:H11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90C9F-B1DF-4254-9CC3-2571C1EAE1C6}">
  <sheetPr codeName="Sheet171">
    <pageSetUpPr fitToPage="1"/>
  </sheetPr>
  <dimension ref="B1:AM52"/>
  <sheetViews>
    <sheetView showGridLines="0" zoomScale="125" zoomScaleNormal="125" zoomScalePageLayoutView="125" workbookViewId="0">
      <selection activeCell="B18" sqref="B18"/>
    </sheetView>
  </sheetViews>
  <sheetFormatPr defaultColWidth="8.125" defaultRowHeight="13.5"/>
  <cols>
    <col min="1" max="1" width="3.25" style="38" customWidth="1"/>
    <col min="2" max="2" width="14.625" style="41" customWidth="1"/>
    <col min="3" max="16" width="7.5" style="38" customWidth="1"/>
    <col min="17" max="17" width="8.125" style="38"/>
    <col min="18" max="28" width="9.625" style="38" customWidth="1"/>
    <col min="29" max="29" width="8.125" style="38"/>
    <col min="30" max="30" width="18.125" style="40" bestFit="1" customWidth="1"/>
    <col min="31" max="34" width="10.125" style="39" customWidth="1"/>
    <col min="35" max="35" width="2.625" style="39" customWidth="1"/>
    <col min="36" max="39" width="10.125" style="39" customWidth="1"/>
    <col min="40" max="16384" width="8.125" style="38"/>
  </cols>
  <sheetData>
    <row r="1" spans="2:39">
      <c r="AJ1" s="590" t="s">
        <v>474</v>
      </c>
      <c r="AK1" s="590"/>
      <c r="AL1" s="590"/>
      <c r="AM1" s="590"/>
    </row>
    <row r="2" spans="2:39">
      <c r="B2" s="40"/>
      <c r="C2" s="35"/>
      <c r="D2" s="591" t="s">
        <v>258</v>
      </c>
      <c r="E2" s="591"/>
      <c r="F2" s="591"/>
      <c r="G2" s="591"/>
      <c r="H2" s="591"/>
      <c r="I2" s="591"/>
      <c r="J2" s="591"/>
      <c r="K2" s="591"/>
      <c r="L2" s="591"/>
      <c r="M2" s="591"/>
      <c r="N2" s="591"/>
      <c r="O2" s="591"/>
      <c r="P2" s="591"/>
      <c r="AE2" s="60" t="s">
        <v>308</v>
      </c>
      <c r="AF2" s="60" t="s">
        <v>309</v>
      </c>
      <c r="AG2" s="60" t="s">
        <v>310</v>
      </c>
      <c r="AH2" s="60" t="s">
        <v>311</v>
      </c>
      <c r="AI2" s="53"/>
      <c r="AJ2" s="60" t="s">
        <v>308</v>
      </c>
      <c r="AK2" s="60" t="s">
        <v>309</v>
      </c>
      <c r="AL2" s="60" t="s">
        <v>310</v>
      </c>
      <c r="AM2" s="60" t="s">
        <v>311</v>
      </c>
    </row>
    <row r="3" spans="2:39">
      <c r="B3" s="40" t="s">
        <v>456</v>
      </c>
      <c r="C3" s="35" t="s">
        <v>154</v>
      </c>
      <c r="D3" s="42">
        <v>0</v>
      </c>
      <c r="E3" s="42">
        <v>1</v>
      </c>
      <c r="F3" s="42">
        <v>2</v>
      </c>
      <c r="G3" s="42">
        <v>3</v>
      </c>
      <c r="H3" s="42">
        <v>4</v>
      </c>
      <c r="I3" s="42">
        <v>5</v>
      </c>
      <c r="J3" s="42">
        <v>6</v>
      </c>
      <c r="K3" s="42">
        <v>7</v>
      </c>
      <c r="L3" s="42">
        <v>8</v>
      </c>
      <c r="M3" s="42">
        <v>9</v>
      </c>
      <c r="N3" s="42">
        <v>10</v>
      </c>
      <c r="O3" s="42">
        <v>11</v>
      </c>
      <c r="P3" s="42">
        <v>12</v>
      </c>
      <c r="R3" s="35"/>
      <c r="AE3" s="61" t="s">
        <v>465</v>
      </c>
      <c r="AF3" s="61" t="s">
        <v>466</v>
      </c>
      <c r="AG3" s="61" t="s">
        <v>467</v>
      </c>
      <c r="AH3" s="61" t="s">
        <v>468</v>
      </c>
      <c r="AI3" s="53"/>
      <c r="AJ3" s="61" t="s">
        <v>465</v>
      </c>
      <c r="AK3" s="61" t="s">
        <v>466</v>
      </c>
      <c r="AL3" s="61" t="s">
        <v>467</v>
      </c>
      <c r="AM3" s="61" t="s">
        <v>468</v>
      </c>
    </row>
    <row r="4" spans="2:39">
      <c r="B4" s="40" t="s">
        <v>441</v>
      </c>
      <c r="C4" s="47">
        <v>0.15</v>
      </c>
      <c r="D4" s="43">
        <v>-2700</v>
      </c>
      <c r="E4" s="43">
        <v>-400</v>
      </c>
      <c r="F4" s="43">
        <v>120</v>
      </c>
      <c r="G4" s="43">
        <v>800</v>
      </c>
      <c r="H4" s="43">
        <v>800</v>
      </c>
      <c r="I4" s="43">
        <v>900</v>
      </c>
      <c r="J4" s="43">
        <v>900</v>
      </c>
      <c r="K4" s="43">
        <f>J4</f>
        <v>900</v>
      </c>
      <c r="L4" s="43">
        <f>K4</f>
        <v>900</v>
      </c>
      <c r="M4" s="43">
        <v>1000</v>
      </c>
      <c r="N4" s="43">
        <f>M4</f>
        <v>1000</v>
      </c>
      <c r="O4" s="43">
        <f>N4</f>
        <v>1000</v>
      </c>
      <c r="P4" s="43">
        <f>O4</f>
        <v>1000</v>
      </c>
      <c r="R4" s="35"/>
      <c r="S4" s="591" t="s">
        <v>306</v>
      </c>
      <c r="T4" s="591"/>
      <c r="U4" s="591" t="s">
        <v>307</v>
      </c>
      <c r="V4" s="591"/>
      <c r="W4" s="591" t="s">
        <v>464</v>
      </c>
      <c r="X4" s="591"/>
      <c r="Y4" s="42" t="s">
        <v>308</v>
      </c>
      <c r="Z4" s="42" t="s">
        <v>309</v>
      </c>
      <c r="AA4" s="42" t="s">
        <v>310</v>
      </c>
      <c r="AB4" s="42" t="s">
        <v>311</v>
      </c>
      <c r="AD4" s="50" t="s">
        <v>450</v>
      </c>
      <c r="AE4" s="59">
        <f>-(C11+C12-C36)</f>
        <v>12600</v>
      </c>
      <c r="AF4" s="59">
        <f>C36-2*(C13+C14)</f>
        <v>6640</v>
      </c>
      <c r="AG4" s="59">
        <f>C36-C13-C14-C11</f>
        <v>9420</v>
      </c>
      <c r="AH4" s="46">
        <f>C36-C12-C13-C14</f>
        <v>9820</v>
      </c>
      <c r="AJ4" s="46">
        <f>O49</f>
        <v>12600</v>
      </c>
      <c r="AK4" s="46">
        <f>O50</f>
        <v>7920</v>
      </c>
      <c r="AL4" s="46">
        <f>O51</f>
        <v>10060</v>
      </c>
      <c r="AM4" s="46">
        <f>O52</f>
        <v>10460</v>
      </c>
    </row>
    <row r="5" spans="2:39">
      <c r="B5" s="40" t="s">
        <v>442</v>
      </c>
      <c r="C5" s="47">
        <f>C4</f>
        <v>0.15</v>
      </c>
      <c r="D5" s="43">
        <v>-3500</v>
      </c>
      <c r="E5" s="43">
        <v>50</v>
      </c>
      <c r="F5" s="43">
        <v>150</v>
      </c>
      <c r="G5" s="43">
        <v>800</v>
      </c>
      <c r="H5" s="43">
        <v>900</v>
      </c>
      <c r="I5" s="43">
        <v>900</v>
      </c>
      <c r="J5" s="43">
        <v>1000</v>
      </c>
      <c r="K5" s="43">
        <f>J5</f>
        <v>1000</v>
      </c>
      <c r="L5" s="43">
        <v>1200</v>
      </c>
      <c r="M5" s="43">
        <f>L5</f>
        <v>1200</v>
      </c>
      <c r="N5" s="43">
        <v>1400</v>
      </c>
      <c r="O5" s="43">
        <f>N5</f>
        <v>1400</v>
      </c>
      <c r="P5" s="43">
        <f>O5</f>
        <v>1400</v>
      </c>
      <c r="R5" s="42" t="s">
        <v>463</v>
      </c>
      <c r="S5" s="42" t="s">
        <v>260</v>
      </c>
      <c r="T5" s="42" t="s">
        <v>261</v>
      </c>
      <c r="U5" s="42" t="s">
        <v>262</v>
      </c>
      <c r="V5" s="42" t="s">
        <v>263</v>
      </c>
      <c r="W5" s="42" t="s">
        <v>262</v>
      </c>
      <c r="X5" s="42" t="s">
        <v>263</v>
      </c>
      <c r="Y5" s="42" t="s">
        <v>465</v>
      </c>
      <c r="Z5" s="42" t="s">
        <v>466</v>
      </c>
      <c r="AA5" s="42" t="s">
        <v>467</v>
      </c>
      <c r="AB5" s="42" t="s">
        <v>468</v>
      </c>
      <c r="AD5" s="50" t="s">
        <v>147</v>
      </c>
      <c r="AE5" s="46">
        <f>D37+E37+C37</f>
        <v>1972.2764056643655</v>
      </c>
      <c r="AF5" s="46">
        <f>C37+2*(F37+G37)</f>
        <v>982.30229077026604</v>
      </c>
      <c r="AG5" s="46">
        <f>C37+F37+G37+D37</f>
        <v>1436.6341134451677</v>
      </c>
      <c r="AH5" s="46">
        <f>C37+E37+F37+G37</f>
        <v>1517.9445829894639</v>
      </c>
      <c r="AJ5" s="46">
        <f>AE5</f>
        <v>1972.2764056643655</v>
      </c>
      <c r="AK5" s="46">
        <f>C37+3*2*(F37+G37)</f>
        <v>1326.906872310798</v>
      </c>
      <c r="AL5" s="46">
        <f>C37+D37+3*(F37+G37)</f>
        <v>1608.9364042154339</v>
      </c>
      <c r="AM5" s="46">
        <f>C37+E37+3*(F37+G37)</f>
        <v>1690.2468737597299</v>
      </c>
    </row>
    <row r="6" spans="2:39">
      <c r="B6" s="40" t="s">
        <v>443</v>
      </c>
      <c r="C6" s="47">
        <f>C5</f>
        <v>0.15</v>
      </c>
      <c r="D6" s="43">
        <v>-150</v>
      </c>
      <c r="E6" s="43">
        <v>10</v>
      </c>
      <c r="F6" s="43">
        <v>50</v>
      </c>
      <c r="G6" s="43">
        <v>90</v>
      </c>
      <c r="H6" s="43">
        <v>200</v>
      </c>
      <c r="I6" s="36"/>
      <c r="J6" s="36"/>
      <c r="K6" s="36"/>
      <c r="L6" s="36"/>
      <c r="M6" s="36"/>
      <c r="N6" s="36"/>
      <c r="O6" s="36"/>
      <c r="P6" s="36"/>
      <c r="R6" s="55">
        <v>0.11</v>
      </c>
      <c r="S6" s="46">
        <f>NPV(R6,$E$4:$P$4)+$D$4</f>
        <v>1334.5149682273222</v>
      </c>
      <c r="T6" s="46">
        <f>NPV(R6,$E$5:$P$5)+$D$5</f>
        <v>1722.2584185596143</v>
      </c>
      <c r="U6" s="46">
        <f>NPV(R6,$E$6:$P$6)+$D$6</f>
        <v>97.143549817297298</v>
      </c>
      <c r="V6" s="46">
        <f>NPV(R6,$E$7:$P$7)+$D$7</f>
        <v>53.590327407804409</v>
      </c>
      <c r="W6" s="46">
        <f>NPV(R6,$E$22:$P$22)+$D$22</f>
        <v>203.28817523052101</v>
      </c>
      <c r="X6" s="46">
        <f>NPV(R6,$E$31:$P$31)+$D$31</f>
        <v>112.14619899342932</v>
      </c>
      <c r="Y6" s="46">
        <f>S6+T6</f>
        <v>3056.7733867869365</v>
      </c>
      <c r="Z6" s="46">
        <f>2*(W6+X6)</f>
        <v>630.86874844790066</v>
      </c>
      <c r="AA6" s="39"/>
      <c r="AB6" s="39"/>
      <c r="AD6" s="50" t="s">
        <v>440</v>
      </c>
      <c r="AE6" s="57">
        <v>0.15652987346542582</v>
      </c>
      <c r="AF6" s="57">
        <f>AF5/AF4</f>
        <v>0.1479370919834738</v>
      </c>
      <c r="AG6" s="57">
        <f t="shared" ref="AG6:AM6" si="0">AG5/AG4</f>
        <v>0.15250892924046366</v>
      </c>
      <c r="AH6" s="57">
        <f t="shared" si="0"/>
        <v>0.15457684144495559</v>
      </c>
      <c r="AI6" s="58"/>
      <c r="AJ6" s="57">
        <f t="shared" si="0"/>
        <v>0.15652987346542582</v>
      </c>
      <c r="AK6" s="57">
        <f t="shared" si="0"/>
        <v>0.16753874650388864</v>
      </c>
      <c r="AL6" s="57">
        <f t="shared" si="0"/>
        <v>0.15993403620431748</v>
      </c>
      <c r="AM6" s="57">
        <f t="shared" si="0"/>
        <v>0.16159147932693402</v>
      </c>
    </row>
    <row r="7" spans="2:39">
      <c r="B7" s="40" t="s">
        <v>444</v>
      </c>
      <c r="C7" s="47">
        <f>C6</f>
        <v>0.15</v>
      </c>
      <c r="D7" s="43">
        <v>-170</v>
      </c>
      <c r="E7" s="43">
        <v>60</v>
      </c>
      <c r="F7" s="43">
        <v>80</v>
      </c>
      <c r="G7" s="43">
        <v>80</v>
      </c>
      <c r="H7" s="43">
        <v>70</v>
      </c>
      <c r="I7" s="36"/>
      <c r="J7" s="36"/>
      <c r="K7" s="36"/>
      <c r="L7" s="36"/>
      <c r="M7" s="36"/>
      <c r="N7" s="36"/>
      <c r="O7" s="36"/>
      <c r="P7" s="36"/>
      <c r="R7" s="55">
        <v>0.115</v>
      </c>
      <c r="S7" s="46">
        <f t="shared" ref="S7:S22" si="1">NPV(R7,$E$4:$P$4)+$D$4</f>
        <v>1204.8597597488865</v>
      </c>
      <c r="T7" s="46">
        <f t="shared" ref="T7:T22" si="2">NPV(R7,$E$5:$P$5)+$D$5</f>
        <v>1560.4664702199798</v>
      </c>
      <c r="U7" s="46">
        <f t="shared" ref="U7:U22" si="3">NPV(R7,$E$6:$P$6)+$D$6</f>
        <v>93.511363290860373</v>
      </c>
      <c r="V7" s="46">
        <f t="shared" ref="V7:V22" si="4">NPV(R7,$E$7:$P$7)+$D$7</f>
        <v>51.161940088947347</v>
      </c>
      <c r="W7" s="46">
        <f t="shared" ref="W7:W22" si="5">NPV(R7,$E$22:$P$22)+$D$22</f>
        <v>193.15671513834155</v>
      </c>
      <c r="X7" s="46">
        <f t="shared" ref="X7:X22" si="6">NPV(R7,$E$31:$P$31)+$D$31</f>
        <v>105.6799081941262</v>
      </c>
      <c r="Y7" s="46">
        <f t="shared" ref="Y7:Y22" si="7">S7+T7</f>
        <v>2765.3262299688663</v>
      </c>
      <c r="Z7" s="46">
        <f t="shared" ref="Z7:Z22" si="8">2*(W7+X7)</f>
        <v>597.6732466649355</v>
      </c>
      <c r="AA7" s="39"/>
      <c r="AB7" s="39"/>
    </row>
    <row r="8" spans="2:39">
      <c r="D8" s="36"/>
      <c r="R8" s="55">
        <v>0.12</v>
      </c>
      <c r="S8" s="46">
        <f t="shared" si="1"/>
        <v>1080.3549059453235</v>
      </c>
      <c r="T8" s="46">
        <f t="shared" si="2"/>
        <v>1405.243024893568</v>
      </c>
      <c r="U8" s="46">
        <f t="shared" si="3"/>
        <v>89.952103290295668</v>
      </c>
      <c r="V8" s="46">
        <f t="shared" si="4"/>
        <v>48.775624088921234</v>
      </c>
      <c r="W8" s="46">
        <f t="shared" si="5"/>
        <v>183.44843696223535</v>
      </c>
      <c r="X8" s="46">
        <f t="shared" si="6"/>
        <v>99.473071486650554</v>
      </c>
      <c r="Y8" s="46">
        <f t="shared" si="7"/>
        <v>2485.5979308388914</v>
      </c>
      <c r="Z8" s="46">
        <f t="shared" si="8"/>
        <v>565.8430168977718</v>
      </c>
      <c r="AA8" s="46">
        <f>W8+X8</f>
        <v>282.9215084488859</v>
      </c>
      <c r="AB8" s="46">
        <f>AA8</f>
        <v>282.9215084488859</v>
      </c>
      <c r="AD8" s="50" t="s">
        <v>7</v>
      </c>
      <c r="AE8" s="57">
        <v>0.15</v>
      </c>
      <c r="AF8" s="57">
        <v>0.15</v>
      </c>
      <c r="AG8" s="57">
        <v>0.15</v>
      </c>
      <c r="AH8" s="57">
        <v>0.15</v>
      </c>
      <c r="AI8" s="58"/>
      <c r="AJ8" s="57">
        <v>0.15</v>
      </c>
      <c r="AK8" s="57">
        <v>0.15</v>
      </c>
      <c r="AL8" s="57">
        <v>0.15</v>
      </c>
      <c r="AM8" s="57">
        <v>0.15</v>
      </c>
    </row>
    <row r="9" spans="2:39">
      <c r="B9" s="40"/>
      <c r="C9" s="35"/>
      <c r="R9" s="55">
        <v>0.125</v>
      </c>
      <c r="S9" s="46">
        <f t="shared" si="1"/>
        <v>960.7571212568073</v>
      </c>
      <c r="T9" s="46">
        <f t="shared" si="2"/>
        <v>1256.2713883998067</v>
      </c>
      <c r="U9" s="46">
        <f t="shared" si="3"/>
        <v>86.463953665599746</v>
      </c>
      <c r="V9" s="46">
        <f t="shared" si="4"/>
        <v>46.430422191739069</v>
      </c>
      <c r="W9" s="46">
        <f t="shared" si="5"/>
        <v>174.14181110012441</v>
      </c>
      <c r="X9" s="46">
        <f t="shared" si="6"/>
        <v>93.512700585998175</v>
      </c>
      <c r="Y9" s="46">
        <f t="shared" si="7"/>
        <v>2217.028509656614</v>
      </c>
      <c r="Z9" s="46">
        <f t="shared" si="8"/>
        <v>535.30902337224518</v>
      </c>
      <c r="AA9" s="39"/>
      <c r="AB9" s="39"/>
      <c r="AD9" s="50" t="s">
        <v>62</v>
      </c>
      <c r="AE9" s="46">
        <f>AE5/AE8</f>
        <v>13148.50937109577</v>
      </c>
      <c r="AF9" s="46">
        <f>AF5/AF8</f>
        <v>6548.6819384684404</v>
      </c>
      <c r="AG9" s="46">
        <f>AG5/AG8</f>
        <v>9577.5607563011181</v>
      </c>
      <c r="AH9" s="46">
        <f>AH5/AH8</f>
        <v>10119.630553263094</v>
      </c>
      <c r="AJ9" s="46">
        <f>AJ5/AJ8</f>
        <v>13148.50937109577</v>
      </c>
      <c r="AK9" s="46">
        <f>AK5/AK8</f>
        <v>8846.0458154053213</v>
      </c>
      <c r="AL9" s="46">
        <f>AL5/AL8</f>
        <v>10726.24269476956</v>
      </c>
      <c r="AM9" s="46">
        <f>AM5/AM8</f>
        <v>11268.312491731533</v>
      </c>
    </row>
    <row r="10" spans="2:39">
      <c r="B10" s="40" t="s">
        <v>456</v>
      </c>
      <c r="C10" s="42" t="s">
        <v>457</v>
      </c>
      <c r="D10" s="42" t="s">
        <v>295</v>
      </c>
      <c r="E10" s="42" t="s">
        <v>296</v>
      </c>
      <c r="F10" s="42" t="s">
        <v>297</v>
      </c>
      <c r="R10" s="55">
        <v>0.13</v>
      </c>
      <c r="S10" s="46">
        <f t="shared" si="1"/>
        <v>845.83620760958866</v>
      </c>
      <c r="T10" s="46">
        <f t="shared" si="2"/>
        <v>1113.2521673376732</v>
      </c>
      <c r="U10" s="46">
        <f t="shared" si="3"/>
        <v>83.045151831681665</v>
      </c>
      <c r="V10" s="46">
        <f t="shared" si="4"/>
        <v>44.125403722419094</v>
      </c>
      <c r="W10" s="46">
        <f t="shared" si="5"/>
        <v>165.21655152273792</v>
      </c>
      <c r="X10" s="46">
        <f t="shared" si="6"/>
        <v>87.786545954455619</v>
      </c>
      <c r="Y10" s="46">
        <f t="shared" si="7"/>
        <v>1959.0883749472619</v>
      </c>
      <c r="Z10" s="46">
        <f t="shared" si="8"/>
        <v>506.00619495438707</v>
      </c>
      <c r="AA10" s="39"/>
      <c r="AB10" s="39"/>
    </row>
    <row r="11" spans="2:39">
      <c r="B11" s="40" t="s">
        <v>441</v>
      </c>
      <c r="C11" s="43">
        <f>D4+E4</f>
        <v>-3100</v>
      </c>
      <c r="D11" s="46">
        <f>NPV(C4,E4:P4)+D4</f>
        <v>428.73305708364887</v>
      </c>
      <c r="E11" s="48">
        <f>IRR(D4:P4)</f>
        <v>0.17434934453549511</v>
      </c>
      <c r="F11" s="44" t="s">
        <v>458</v>
      </c>
      <c r="R11" s="55">
        <v>0.13500000000000001</v>
      </c>
      <c r="S11" s="46">
        <f t="shared" si="1"/>
        <v>735.37427409820066</v>
      </c>
      <c r="T11" s="46">
        <f t="shared" si="2"/>
        <v>975.90222582711431</v>
      </c>
      <c r="U11" s="46">
        <f t="shared" si="3"/>
        <v>79.693986950075271</v>
      </c>
      <c r="V11" s="46">
        <f t="shared" si="4"/>
        <v>41.859663685773768</v>
      </c>
      <c r="W11" s="46">
        <f t="shared" si="5"/>
        <v>156.65353682186037</v>
      </c>
      <c r="X11" s="46">
        <f t="shared" si="6"/>
        <v>82.283050673045267</v>
      </c>
      <c r="Y11" s="46">
        <f t="shared" si="7"/>
        <v>1711.276499925315</v>
      </c>
      <c r="Z11" s="46">
        <f t="shared" si="8"/>
        <v>477.87317498981128</v>
      </c>
      <c r="AA11" s="39"/>
      <c r="AB11" s="39"/>
      <c r="AD11" s="50" t="s">
        <v>452</v>
      </c>
      <c r="AE11" s="57">
        <v>0.12</v>
      </c>
      <c r="AF11" s="57">
        <v>0.12</v>
      </c>
      <c r="AG11" s="57">
        <v>0.12</v>
      </c>
      <c r="AH11" s="57">
        <v>0.12</v>
      </c>
      <c r="AI11" s="58"/>
      <c r="AJ11" s="57">
        <v>0.12</v>
      </c>
      <c r="AK11" s="57">
        <v>0.12</v>
      </c>
      <c r="AL11" s="57">
        <v>0.12</v>
      </c>
      <c r="AM11" s="57">
        <v>0.12</v>
      </c>
    </row>
    <row r="12" spans="2:39">
      <c r="B12" s="40" t="s">
        <v>442</v>
      </c>
      <c r="C12" s="43">
        <f>D5</f>
        <v>-3500</v>
      </c>
      <c r="D12" s="46">
        <f t="shared" ref="D12:D14" si="9">NPV(C5,E5:P5)+D5</f>
        <v>595.26054924256641</v>
      </c>
      <c r="E12" s="48">
        <f t="shared" ref="E12:E14" si="10">IRR(D5:P5)</f>
        <v>0.17765526788695163</v>
      </c>
      <c r="F12" s="44" t="s">
        <v>299</v>
      </c>
      <c r="R12" s="55">
        <v>0.14000000000000001</v>
      </c>
      <c r="S12" s="46">
        <f t="shared" si="1"/>
        <v>629.16500734586225</v>
      </c>
      <c r="T12" s="46">
        <f t="shared" si="2"/>
        <v>843.95371057739521</v>
      </c>
      <c r="U12" s="46">
        <f t="shared" si="3"/>
        <v>76.408798180295662</v>
      </c>
      <c r="V12" s="46">
        <f t="shared" si="4"/>
        <v>39.632321937066848</v>
      </c>
      <c r="W12" s="46">
        <f t="shared" si="5"/>
        <v>148.43473667277499</v>
      </c>
      <c r="X12" s="46">
        <f t="shared" si="6"/>
        <v>76.991307422189294</v>
      </c>
      <c r="Y12" s="46">
        <f t="shared" si="7"/>
        <v>1473.1187179232575</v>
      </c>
      <c r="Z12" s="46">
        <f t="shared" si="8"/>
        <v>450.85208818992857</v>
      </c>
      <c r="AA12" s="39"/>
      <c r="AB12" s="39"/>
      <c r="AD12" s="50" t="s">
        <v>62</v>
      </c>
      <c r="AE12" s="46">
        <f>AE5/AE11</f>
        <v>16435.636713869713</v>
      </c>
      <c r="AF12" s="46">
        <f t="shared" ref="AF12:AM12" si="11">AF5/AF11</f>
        <v>8185.852423085551</v>
      </c>
      <c r="AG12" s="46">
        <f t="shared" si="11"/>
        <v>11971.950945376399</v>
      </c>
      <c r="AH12" s="46">
        <f t="shared" si="11"/>
        <v>12649.538191578866</v>
      </c>
      <c r="AJ12" s="46">
        <f t="shared" si="11"/>
        <v>16435.636713869713</v>
      </c>
      <c r="AK12" s="46">
        <f t="shared" si="11"/>
        <v>11057.557269256651</v>
      </c>
      <c r="AL12" s="46">
        <f t="shared" si="11"/>
        <v>13407.80336846195</v>
      </c>
      <c r="AM12" s="46">
        <f t="shared" si="11"/>
        <v>14085.390614664417</v>
      </c>
    </row>
    <row r="13" spans="2:39">
      <c r="B13" s="40" t="s">
        <v>443</v>
      </c>
      <c r="C13" s="43">
        <f>D6</f>
        <v>-150</v>
      </c>
      <c r="D13" s="46">
        <f t="shared" si="9"/>
        <v>70.029945576238021</v>
      </c>
      <c r="E13" s="48">
        <f t="shared" si="10"/>
        <v>0.29524845054360216</v>
      </c>
      <c r="F13" s="44" t="s">
        <v>459</v>
      </c>
      <c r="R13" s="55">
        <v>0.14499999999999999</v>
      </c>
      <c r="S13" s="46">
        <f t="shared" si="1"/>
        <v>527.01298899991798</v>
      </c>
      <c r="T13" s="46">
        <f t="shared" si="2"/>
        <v>717.15313947477352</v>
      </c>
      <c r="U13" s="46">
        <f t="shared" si="3"/>
        <v>73.187972997873089</v>
      </c>
      <c r="V13" s="46">
        <f t="shared" si="4"/>
        <v>37.442522383217607</v>
      </c>
      <c r="W13" s="46">
        <f t="shared" si="5"/>
        <v>140.54314331413951</v>
      </c>
      <c r="X13" s="46">
        <f t="shared" si="6"/>
        <v>71.901018347650563</v>
      </c>
      <c r="Y13" s="46">
        <f t="shared" si="7"/>
        <v>1244.1661284746915</v>
      </c>
      <c r="Z13" s="46">
        <f t="shared" si="8"/>
        <v>424.88832332358015</v>
      </c>
      <c r="AA13" s="39"/>
      <c r="AB13" s="39"/>
    </row>
    <row r="14" spans="2:39">
      <c r="B14" s="40" t="s">
        <v>444</v>
      </c>
      <c r="C14" s="43">
        <f>D7</f>
        <v>-170</v>
      </c>
      <c r="D14" s="46">
        <f t="shared" si="9"/>
        <v>35.289432213292599</v>
      </c>
      <c r="E14" s="48">
        <f t="shared" si="10"/>
        <v>0.24625810472701581</v>
      </c>
      <c r="F14" s="44" t="s">
        <v>300</v>
      </c>
      <c r="R14" s="55">
        <v>0.15</v>
      </c>
      <c r="S14" s="46">
        <f t="shared" si="1"/>
        <v>428.73305708364887</v>
      </c>
      <c r="T14" s="46">
        <f t="shared" si="2"/>
        <v>595.26054924256641</v>
      </c>
      <c r="U14" s="46">
        <f t="shared" si="3"/>
        <v>70.029945576238021</v>
      </c>
      <c r="V14" s="46">
        <f t="shared" si="4"/>
        <v>35.289432213292599</v>
      </c>
      <c r="W14" s="46">
        <f t="shared" si="5"/>
        <v>132.9627076793783</v>
      </c>
      <c r="X14" s="46">
        <f t="shared" si="6"/>
        <v>67.002457604927343</v>
      </c>
      <c r="Y14" s="46">
        <f t="shared" si="7"/>
        <v>1023.9936063262153</v>
      </c>
      <c r="Z14" s="46">
        <f t="shared" si="8"/>
        <v>399.93033056861128</v>
      </c>
      <c r="AA14" s="46">
        <f>W14+X14</f>
        <v>199.96516528430564</v>
      </c>
      <c r="AB14" s="46">
        <f>AA14</f>
        <v>199.96516528430564</v>
      </c>
      <c r="AD14" s="50" t="s">
        <v>453</v>
      </c>
      <c r="AE14" s="57">
        <f>(C36*C40-C11*19%-C12*19%)/(C36-C11-C12)</f>
        <v>0.17095238095238094</v>
      </c>
      <c r="AF14" s="57">
        <v>0.15</v>
      </c>
      <c r="AG14" s="57">
        <f>(C36*C40-C11*19%+(-C13-C14)*15%)/(C36-C11-C13-C14)</f>
        <v>0.16316348195329086</v>
      </c>
      <c r="AH14" s="57">
        <f>(C36*C40-C12*19%+(-C13-C14)*15%)/(C36-C12-C13-C14)</f>
        <v>0.16425661914460285</v>
      </c>
      <c r="AI14" s="58"/>
      <c r="AJ14" s="57">
        <f>AE14</f>
        <v>0.17095238095238094</v>
      </c>
      <c r="AK14" s="57">
        <f t="shared" ref="AK14:AM14" si="12">AF14</f>
        <v>0.15</v>
      </c>
      <c r="AL14" s="57">
        <f t="shared" si="12"/>
        <v>0.16316348195329086</v>
      </c>
      <c r="AM14" s="57">
        <f t="shared" si="12"/>
        <v>0.16425661914460285</v>
      </c>
    </row>
    <row r="15" spans="2:39">
      <c r="R15" s="55">
        <v>0.155</v>
      </c>
      <c r="S15" s="46">
        <f t="shared" si="1"/>
        <v>334.14970816924415</v>
      </c>
      <c r="T15" s="46">
        <f t="shared" si="2"/>
        <v>478.0486980585124</v>
      </c>
      <c r="U15" s="46">
        <f t="shared" si="3"/>
        <v>66.933195229762333</v>
      </c>
      <c r="V15" s="46">
        <f t="shared" si="4"/>
        <v>33.17224115708197</v>
      </c>
      <c r="W15" s="46">
        <f t="shared" si="5"/>
        <v>125.67827984198573</v>
      </c>
      <c r="X15" s="46">
        <f t="shared" si="6"/>
        <v>62.286436391009062</v>
      </c>
      <c r="Y15" s="46">
        <f t="shared" si="7"/>
        <v>812.19840622775655</v>
      </c>
      <c r="Z15" s="46">
        <f t="shared" si="8"/>
        <v>375.92943246598958</v>
      </c>
      <c r="AA15" s="39"/>
      <c r="AB15" s="39"/>
      <c r="AD15" s="50" t="s">
        <v>62</v>
      </c>
      <c r="AE15" s="46">
        <f>AE5/AE14</f>
        <v>11536.992902214952</v>
      </c>
      <c r="AF15" s="46">
        <f t="shared" ref="AF15:AM15" si="13">AF5/AF14</f>
        <v>6548.6819384684404</v>
      </c>
      <c r="AG15" s="46">
        <f t="shared" si="13"/>
        <v>8804.8753081675222</v>
      </c>
      <c r="AH15" s="46">
        <f t="shared" si="13"/>
        <v>9241.2993211137855</v>
      </c>
      <c r="AJ15" s="46">
        <f t="shared" si="13"/>
        <v>11536.992902214952</v>
      </c>
      <c r="AK15" s="46">
        <f t="shared" si="13"/>
        <v>8846.0458154053213</v>
      </c>
      <c r="AL15" s="46">
        <f t="shared" si="13"/>
        <v>9860.8854441830754</v>
      </c>
      <c r="AM15" s="46">
        <f t="shared" si="13"/>
        <v>10290.281649299781</v>
      </c>
    </row>
    <row r="16" spans="2:39">
      <c r="R16" s="55">
        <v>0.16</v>
      </c>
      <c r="S16" s="46">
        <f t="shared" si="1"/>
        <v>243.09653756100442</v>
      </c>
      <c r="T16" s="46">
        <f t="shared" si="2"/>
        <v>365.30231931997969</v>
      </c>
      <c r="U16" s="46">
        <f t="shared" si="3"/>
        <v>63.896244915387257</v>
      </c>
      <c r="V16" s="46">
        <f t="shared" si="4"/>
        <v>31.090160770613124</v>
      </c>
      <c r="W16" s="46">
        <f t="shared" si="5"/>
        <v>118.67555346314037</v>
      </c>
      <c r="X16" s="46">
        <f t="shared" si="6"/>
        <v>57.744270286875604</v>
      </c>
      <c r="Y16" s="46">
        <f t="shared" si="7"/>
        <v>608.39885688098411</v>
      </c>
      <c r="Z16" s="46">
        <f t="shared" si="8"/>
        <v>352.83964750003196</v>
      </c>
      <c r="AA16" s="46">
        <f>S16</f>
        <v>243.09653756100442</v>
      </c>
      <c r="AB16" s="46">
        <f>T16</f>
        <v>365.30231931997969</v>
      </c>
    </row>
    <row r="17" spans="2:39">
      <c r="B17" s="40"/>
      <c r="C17" s="35"/>
      <c r="D17" s="591" t="s">
        <v>258</v>
      </c>
      <c r="E17" s="591"/>
      <c r="F17" s="591"/>
      <c r="G17" s="591"/>
      <c r="H17" s="591"/>
      <c r="I17" s="591"/>
      <c r="J17" s="591"/>
      <c r="K17" s="591"/>
      <c r="L17" s="591"/>
      <c r="M17" s="591"/>
      <c r="N17" s="591"/>
      <c r="O17" s="591"/>
      <c r="P17" s="591"/>
      <c r="R17" s="55">
        <v>0.16500000000000001</v>
      </c>
      <c r="S17" s="46">
        <f t="shared" si="1"/>
        <v>155.41571488454065</v>
      </c>
      <c r="T17" s="46">
        <f t="shared" si="2"/>
        <v>256.81742302910834</v>
      </c>
      <c r="U17" s="46">
        <f t="shared" si="3"/>
        <v>60.917659790383766</v>
      </c>
      <c r="V17" s="46">
        <f t="shared" si="4"/>
        <v>29.042423747503108</v>
      </c>
      <c r="W17" s="46">
        <f t="shared" si="5"/>
        <v>111.9410139539126</v>
      </c>
      <c r="X17" s="46">
        <f t="shared" si="6"/>
        <v>53.367748747431136</v>
      </c>
      <c r="Y17" s="46">
        <f t="shared" si="7"/>
        <v>412.23313791364899</v>
      </c>
      <c r="Z17" s="46">
        <f t="shared" si="8"/>
        <v>330.61752540268748</v>
      </c>
      <c r="AA17" s="39"/>
      <c r="AB17" s="39"/>
      <c r="AD17" s="50" t="s">
        <v>454</v>
      </c>
      <c r="AE17" s="57">
        <f>AE14-3%</f>
        <v>0.14095238095238094</v>
      </c>
      <c r="AF17" s="57">
        <f t="shared" ref="AF17:AM17" si="14">AF14-3%</f>
        <v>0.12</v>
      </c>
      <c r="AG17" s="57">
        <f t="shared" si="14"/>
        <v>0.13316348195329086</v>
      </c>
      <c r="AH17" s="57">
        <f t="shared" si="14"/>
        <v>0.13425661914460285</v>
      </c>
      <c r="AI17" s="58"/>
      <c r="AJ17" s="57">
        <f t="shared" si="14"/>
        <v>0.14095238095238094</v>
      </c>
      <c r="AK17" s="57">
        <f t="shared" si="14"/>
        <v>0.12</v>
      </c>
      <c r="AL17" s="57">
        <f t="shared" si="14"/>
        <v>0.13316348195329086</v>
      </c>
      <c r="AM17" s="57">
        <f t="shared" si="14"/>
        <v>0.13425661914460285</v>
      </c>
    </row>
    <row r="18" spans="2:39">
      <c r="B18" s="40" t="s">
        <v>461</v>
      </c>
      <c r="C18" s="35" t="s">
        <v>154</v>
      </c>
      <c r="D18" s="42">
        <v>0</v>
      </c>
      <c r="E18" s="42">
        <v>1</v>
      </c>
      <c r="F18" s="42">
        <v>2</v>
      </c>
      <c r="G18" s="42">
        <v>3</v>
      </c>
      <c r="H18" s="42">
        <v>4</v>
      </c>
      <c r="I18" s="42">
        <v>5</v>
      </c>
      <c r="J18" s="42">
        <v>6</v>
      </c>
      <c r="K18" s="42">
        <v>7</v>
      </c>
      <c r="L18" s="42">
        <v>8</v>
      </c>
      <c r="M18" s="42">
        <v>9</v>
      </c>
      <c r="N18" s="42">
        <v>10</v>
      </c>
      <c r="O18" s="42">
        <v>11</v>
      </c>
      <c r="P18" s="42">
        <v>12</v>
      </c>
      <c r="R18" s="55">
        <v>0.17</v>
      </c>
      <c r="S18" s="46">
        <f t="shared" si="1"/>
        <v>70.957492668450413</v>
      </c>
      <c r="T18" s="46">
        <f t="shared" si="2"/>
        <v>152.40064152965851</v>
      </c>
      <c r="U18" s="46">
        <f t="shared" si="3"/>
        <v>57.996045823910663</v>
      </c>
      <c r="V18" s="46">
        <f t="shared" si="4"/>
        <v>27.028283255105862</v>
      </c>
      <c r="W18" s="46">
        <f t="shared" si="5"/>
        <v>105.46189008631595</v>
      </c>
      <c r="X18" s="46">
        <f t="shared" si="6"/>
        <v>49.149106587825344</v>
      </c>
      <c r="Y18" s="46">
        <f t="shared" si="7"/>
        <v>223.35813419810893</v>
      </c>
      <c r="Z18" s="46">
        <f t="shared" si="8"/>
        <v>309.22199334828258</v>
      </c>
      <c r="AA18" s="39"/>
      <c r="AB18" s="39"/>
      <c r="AD18" s="50" t="s">
        <v>62</v>
      </c>
      <c r="AE18" s="46">
        <f>AE5/AE17</f>
        <v>13992.501526672864</v>
      </c>
      <c r="AF18" s="46">
        <f t="shared" ref="AF18:AM18" si="15">AF5/AF17</f>
        <v>8185.852423085551</v>
      </c>
      <c r="AG18" s="46">
        <f t="shared" si="15"/>
        <v>10788.499161872991</v>
      </c>
      <c r="AH18" s="46">
        <f t="shared" si="15"/>
        <v>11306.292327788635</v>
      </c>
      <c r="AJ18" s="46">
        <f t="shared" si="15"/>
        <v>13992.501526672864</v>
      </c>
      <c r="AK18" s="46">
        <f t="shared" si="15"/>
        <v>11057.557269256651</v>
      </c>
      <c r="AL18" s="46">
        <f t="shared" si="15"/>
        <v>12082.414642625468</v>
      </c>
      <c r="AM18" s="46">
        <f t="shared" si="15"/>
        <v>12589.672557888765</v>
      </c>
    </row>
    <row r="19" spans="2:39">
      <c r="B19" s="41" t="s">
        <v>301</v>
      </c>
      <c r="C19" s="47">
        <v>0.15</v>
      </c>
      <c r="D19" s="43">
        <v>-150</v>
      </c>
      <c r="E19" s="43">
        <v>10</v>
      </c>
      <c r="F19" s="43">
        <v>50</v>
      </c>
      <c r="G19" s="43">
        <v>90</v>
      </c>
      <c r="H19" s="45">
        <v>200</v>
      </c>
      <c r="I19" s="36"/>
      <c r="J19" s="36"/>
      <c r="K19" s="36"/>
      <c r="L19" s="36"/>
      <c r="M19" s="36"/>
      <c r="N19" s="36"/>
      <c r="O19" s="36"/>
      <c r="P19" s="36"/>
      <c r="R19" s="55">
        <v>0.17499999999999999</v>
      </c>
      <c r="S19" s="46">
        <f t="shared" si="1"/>
        <v>-10.420254319457854</v>
      </c>
      <c r="T19" s="46">
        <f t="shared" si="2"/>
        <v>51.868616566406217</v>
      </c>
      <c r="U19" s="46">
        <f t="shared" si="3"/>
        <v>55.130048460134958</v>
      </c>
      <c r="V19" s="46">
        <f t="shared" si="4"/>
        <v>25.047012294451207</v>
      </c>
      <c r="W19" s="46">
        <f t="shared" si="5"/>
        <v>99.226108807622523</v>
      </c>
      <c r="X19" s="46">
        <f t="shared" si="6"/>
        <v>45.080997326389621</v>
      </c>
      <c r="Y19" s="46">
        <f t="shared" si="7"/>
        <v>41.448362246948363</v>
      </c>
      <c r="Z19" s="46">
        <f t="shared" si="8"/>
        <v>288.61421226802429</v>
      </c>
      <c r="AA19" s="39"/>
      <c r="AB19" s="39"/>
      <c r="AD19" s="50" t="s">
        <v>455</v>
      </c>
      <c r="AE19" s="46">
        <f>AE18-AE15</f>
        <v>2455.5086244579124</v>
      </c>
      <c r="AF19" s="46">
        <f t="shared" ref="AF19:AM19" si="16">AF18-AF15</f>
        <v>1637.1704846171106</v>
      </c>
      <c r="AG19" s="46">
        <f t="shared" si="16"/>
        <v>1983.6238537054687</v>
      </c>
      <c r="AH19" s="46">
        <f t="shared" si="16"/>
        <v>2064.9930066748493</v>
      </c>
      <c r="AJ19" s="46">
        <f t="shared" si="16"/>
        <v>2455.5086244579124</v>
      </c>
      <c r="AK19" s="46">
        <f t="shared" si="16"/>
        <v>2211.5114538513299</v>
      </c>
      <c r="AL19" s="46">
        <f t="shared" si="16"/>
        <v>2221.529198442393</v>
      </c>
      <c r="AM19" s="46">
        <f t="shared" si="16"/>
        <v>2299.3909085889845</v>
      </c>
    </row>
    <row r="20" spans="2:39">
      <c r="B20" s="41" t="s">
        <v>302</v>
      </c>
      <c r="C20" s="47">
        <v>0.15</v>
      </c>
      <c r="D20" s="36"/>
      <c r="E20" s="36"/>
      <c r="F20" s="36"/>
      <c r="G20" s="36"/>
      <c r="H20" s="43">
        <v>-150</v>
      </c>
      <c r="I20" s="43">
        <v>10</v>
      </c>
      <c r="J20" s="43">
        <v>50</v>
      </c>
      <c r="K20" s="43">
        <v>90</v>
      </c>
      <c r="L20" s="45">
        <v>200</v>
      </c>
      <c r="M20" s="36"/>
      <c r="N20" s="36"/>
      <c r="O20" s="36"/>
      <c r="P20" s="36"/>
      <c r="R20" s="55">
        <v>0.18</v>
      </c>
      <c r="S20" s="46">
        <f t="shared" si="1"/>
        <v>-88.852461056903394</v>
      </c>
      <c r="T20" s="46">
        <f t="shared" si="2"/>
        <v>-44.952575141097441</v>
      </c>
      <c r="U20" s="46">
        <f t="shared" si="3"/>
        <v>52.318351330788943</v>
      </c>
      <c r="V20" s="46">
        <f t="shared" si="4"/>
        <v>23.0979030830228</v>
      </c>
      <c r="W20" s="46">
        <f t="shared" si="5"/>
        <v>93.22225303095118</v>
      </c>
      <c r="X20" s="46">
        <f t="shared" si="6"/>
        <v>41.156468254816247</v>
      </c>
      <c r="Y20" s="46">
        <f t="shared" si="7"/>
        <v>-133.80503619800083</v>
      </c>
      <c r="Z20" s="46">
        <f t="shared" si="8"/>
        <v>268.75744257153485</v>
      </c>
      <c r="AA20" s="39"/>
      <c r="AB20" s="39"/>
      <c r="AD20" s="50" t="s">
        <v>473</v>
      </c>
      <c r="AE20" s="57">
        <f>AE19/AE15</f>
        <v>0.21283783783783788</v>
      </c>
      <c r="AF20" s="57">
        <f t="shared" ref="AF20:AM20" si="17">AF19/AF15</f>
        <v>0.25000000000000006</v>
      </c>
      <c r="AG20" s="57">
        <f t="shared" si="17"/>
        <v>0.22528698979591821</v>
      </c>
      <c r="AH20" s="57">
        <f t="shared" si="17"/>
        <v>0.22345266990291263</v>
      </c>
      <c r="AI20" s="58"/>
      <c r="AJ20" s="57">
        <f t="shared" si="17"/>
        <v>0.21283783783783788</v>
      </c>
      <c r="AK20" s="57">
        <f t="shared" si="17"/>
        <v>0.24999999999999994</v>
      </c>
      <c r="AL20" s="57">
        <f t="shared" si="17"/>
        <v>0.22528698979591841</v>
      </c>
      <c r="AM20" s="57">
        <f t="shared" si="17"/>
        <v>0.22345266990291276</v>
      </c>
    </row>
    <row r="21" spans="2:39">
      <c r="B21" s="41" t="s">
        <v>303</v>
      </c>
      <c r="C21" s="47">
        <v>0.15</v>
      </c>
      <c r="L21" s="45">
        <v>-150</v>
      </c>
      <c r="M21" s="45">
        <v>10</v>
      </c>
      <c r="N21" s="45">
        <v>50</v>
      </c>
      <c r="O21" s="45">
        <v>90</v>
      </c>
      <c r="P21" s="45">
        <v>200</v>
      </c>
      <c r="R21" s="55">
        <v>0.185</v>
      </c>
      <c r="S21" s="46">
        <f t="shared" si="1"/>
        <v>-164.46727749885531</v>
      </c>
      <c r="T21" s="46">
        <f t="shared" si="2"/>
        <v>-138.22796041522406</v>
      </c>
      <c r="U21" s="46">
        <f t="shared" si="3"/>
        <v>49.559675015126146</v>
      </c>
      <c r="V21" s="46">
        <f t="shared" si="4"/>
        <v>21.180266459459489</v>
      </c>
      <c r="W21" s="46">
        <f t="shared" si="5"/>
        <v>87.439522192199291</v>
      </c>
      <c r="X21" s="46">
        <f t="shared" si="6"/>
        <v>37.368937115777186</v>
      </c>
      <c r="Y21" s="46">
        <f t="shared" si="7"/>
        <v>-302.69523791407937</v>
      </c>
      <c r="Z21" s="46">
        <f t="shared" si="8"/>
        <v>249.61691861595295</v>
      </c>
      <c r="AA21" s="39"/>
      <c r="AB21" s="39"/>
    </row>
    <row r="22" spans="2:39">
      <c r="B22" s="40" t="s">
        <v>460</v>
      </c>
      <c r="C22" s="47">
        <f>C19</f>
        <v>0.15</v>
      </c>
      <c r="D22" s="43">
        <f>SUM(D19:D21)</f>
        <v>-150</v>
      </c>
      <c r="E22" s="43">
        <f t="shared" ref="E22:P22" si="18">SUM(E19:E21)</f>
        <v>10</v>
      </c>
      <c r="F22" s="43">
        <f t="shared" si="18"/>
        <v>50</v>
      </c>
      <c r="G22" s="43">
        <f t="shared" si="18"/>
        <v>90</v>
      </c>
      <c r="H22" s="43">
        <f t="shared" si="18"/>
        <v>50</v>
      </c>
      <c r="I22" s="43">
        <f t="shared" si="18"/>
        <v>10</v>
      </c>
      <c r="J22" s="43">
        <f t="shared" si="18"/>
        <v>50</v>
      </c>
      <c r="K22" s="43">
        <f t="shared" si="18"/>
        <v>90</v>
      </c>
      <c r="L22" s="43">
        <f t="shared" si="18"/>
        <v>50</v>
      </c>
      <c r="M22" s="43">
        <f t="shared" si="18"/>
        <v>10</v>
      </c>
      <c r="N22" s="43">
        <f t="shared" si="18"/>
        <v>50</v>
      </c>
      <c r="O22" s="43">
        <f t="shared" si="18"/>
        <v>90</v>
      </c>
      <c r="P22" s="43">
        <f t="shared" si="18"/>
        <v>200</v>
      </c>
      <c r="R22" s="55">
        <v>0.19</v>
      </c>
      <c r="S22" s="46">
        <f t="shared" si="1"/>
        <v>-237.38644884376527</v>
      </c>
      <c r="T22" s="46">
        <f t="shared" si="2"/>
        <v>-228.11417464389706</v>
      </c>
      <c r="U22" s="46">
        <f t="shared" si="3"/>
        <v>46.852775845339409</v>
      </c>
      <c r="V22" s="46">
        <f t="shared" si="4"/>
        <v>19.29343130930954</v>
      </c>
      <c r="W22" s="46">
        <f t="shared" si="5"/>
        <v>81.86769537914185</v>
      </c>
      <c r="X22" s="46">
        <f t="shared" si="6"/>
        <v>33.712170277016128</v>
      </c>
      <c r="Y22" s="46">
        <f t="shared" si="7"/>
        <v>-465.50062348766232</v>
      </c>
      <c r="Z22" s="46">
        <f t="shared" si="8"/>
        <v>231.15973131231596</v>
      </c>
      <c r="AA22" s="46">
        <f>S22</f>
        <v>-237.38644884376527</v>
      </c>
      <c r="AB22" s="46">
        <f>T22</f>
        <v>-228.11417464389706</v>
      </c>
    </row>
    <row r="23" spans="2:39">
      <c r="B23" s="50" t="s">
        <v>305</v>
      </c>
      <c r="C23" s="51">
        <f>NPV(C22,E22:P22)+D22</f>
        <v>132.9627076793783</v>
      </c>
      <c r="Y23" s="39"/>
      <c r="Z23" s="39"/>
    </row>
    <row r="24" spans="2:39">
      <c r="B24" s="50" t="s">
        <v>296</v>
      </c>
      <c r="C24" s="52">
        <f>IRR(D22:P22)</f>
        <v>0.29524845054321935</v>
      </c>
      <c r="Y24" s="39"/>
      <c r="Z24" s="54" t="s">
        <v>469</v>
      </c>
      <c r="AA24" s="46">
        <f>AA16+AA8</f>
        <v>526.01804600989033</v>
      </c>
      <c r="AB24" s="46">
        <f>AB16+AB8</f>
        <v>648.22382776886559</v>
      </c>
    </row>
    <row r="25" spans="2:39">
      <c r="Z25" s="54" t="s">
        <v>470</v>
      </c>
      <c r="AA25" s="46">
        <f>AA22+AA14</f>
        <v>-37.421283559459624</v>
      </c>
      <c r="AB25" s="46">
        <f>AB22+AB14</f>
        <v>-28.149009359591417</v>
      </c>
    </row>
    <row r="26" spans="2:39">
      <c r="B26" s="40"/>
      <c r="C26" s="35"/>
      <c r="D26" s="591" t="s">
        <v>258</v>
      </c>
      <c r="E26" s="591"/>
      <c r="F26" s="591"/>
      <c r="G26" s="591"/>
      <c r="H26" s="591"/>
      <c r="I26" s="591"/>
      <c r="J26" s="591"/>
      <c r="K26" s="591"/>
      <c r="L26" s="591"/>
      <c r="M26" s="591"/>
      <c r="N26" s="591"/>
      <c r="O26" s="591"/>
      <c r="P26" s="591"/>
    </row>
    <row r="27" spans="2:39">
      <c r="B27" s="40" t="s">
        <v>462</v>
      </c>
      <c r="C27" s="35" t="s">
        <v>154</v>
      </c>
      <c r="D27" s="42">
        <v>0</v>
      </c>
      <c r="E27" s="42">
        <v>1</v>
      </c>
      <c r="F27" s="42">
        <v>2</v>
      </c>
      <c r="G27" s="42">
        <v>3</v>
      </c>
      <c r="H27" s="42">
        <v>4</v>
      </c>
      <c r="I27" s="42">
        <v>5</v>
      </c>
      <c r="J27" s="42">
        <v>6</v>
      </c>
      <c r="K27" s="42">
        <v>7</v>
      </c>
      <c r="L27" s="42">
        <v>8</v>
      </c>
      <c r="M27" s="42">
        <v>9</v>
      </c>
      <c r="N27" s="42">
        <v>10</v>
      </c>
      <c r="O27" s="42">
        <v>11</v>
      </c>
      <c r="P27" s="42">
        <v>12</v>
      </c>
    </row>
    <row r="28" spans="2:39">
      <c r="B28" s="41" t="s">
        <v>301</v>
      </c>
      <c r="C28" s="47">
        <v>0.15</v>
      </c>
      <c r="D28" s="43">
        <v>-170</v>
      </c>
      <c r="E28" s="43">
        <v>60</v>
      </c>
      <c r="F28" s="43">
        <v>80</v>
      </c>
      <c r="G28" s="43">
        <v>80</v>
      </c>
      <c r="H28" s="43">
        <v>70</v>
      </c>
      <c r="I28" s="36"/>
      <c r="J28" s="36"/>
      <c r="K28" s="36"/>
      <c r="L28" s="36"/>
      <c r="M28" s="36"/>
      <c r="N28" s="36"/>
      <c r="O28" s="36"/>
      <c r="P28" s="36"/>
    </row>
    <row r="29" spans="2:39">
      <c r="B29" s="41" t="s">
        <v>302</v>
      </c>
      <c r="C29" s="47">
        <v>0.15</v>
      </c>
      <c r="D29" s="36"/>
      <c r="E29" s="36"/>
      <c r="F29" s="36"/>
      <c r="G29" s="36"/>
      <c r="H29" s="43">
        <v>-170</v>
      </c>
      <c r="I29" s="43">
        <v>60</v>
      </c>
      <c r="J29" s="43">
        <v>80</v>
      </c>
      <c r="K29" s="43">
        <v>80</v>
      </c>
      <c r="L29" s="43">
        <v>70</v>
      </c>
      <c r="M29" s="36"/>
      <c r="N29" s="36"/>
      <c r="O29" s="36"/>
      <c r="P29" s="36"/>
    </row>
    <row r="30" spans="2:39">
      <c r="B30" s="41" t="s">
        <v>303</v>
      </c>
      <c r="C30" s="47">
        <v>0.15</v>
      </c>
      <c r="L30" s="43">
        <v>-170</v>
      </c>
      <c r="M30" s="43">
        <v>60</v>
      </c>
      <c r="N30" s="43">
        <v>80</v>
      </c>
      <c r="O30" s="43">
        <v>80</v>
      </c>
      <c r="P30" s="43">
        <v>70</v>
      </c>
    </row>
    <row r="31" spans="2:39">
      <c r="B31" s="40" t="s">
        <v>460</v>
      </c>
      <c r="C31" s="47">
        <f>C28</f>
        <v>0.15</v>
      </c>
      <c r="D31" s="43">
        <f>SUM(D28:D30)</f>
        <v>-170</v>
      </c>
      <c r="E31" s="43">
        <f t="shared" ref="E31" si="19">SUM(E28:E30)</f>
        <v>60</v>
      </c>
      <c r="F31" s="43">
        <f t="shared" ref="F31" si="20">SUM(F28:F30)</f>
        <v>80</v>
      </c>
      <c r="G31" s="43">
        <f t="shared" ref="G31" si="21">SUM(G28:G30)</f>
        <v>80</v>
      </c>
      <c r="H31" s="43">
        <f t="shared" ref="H31" si="22">SUM(H28:H30)</f>
        <v>-100</v>
      </c>
      <c r="I31" s="43">
        <f t="shared" ref="I31" si="23">SUM(I28:I30)</f>
        <v>60</v>
      </c>
      <c r="J31" s="43">
        <f t="shared" ref="J31" si="24">SUM(J28:J30)</f>
        <v>80</v>
      </c>
      <c r="K31" s="43">
        <f t="shared" ref="K31" si="25">SUM(K28:K30)</f>
        <v>80</v>
      </c>
      <c r="L31" s="43">
        <f t="shared" ref="L31" si="26">SUM(L28:L30)</f>
        <v>-100</v>
      </c>
      <c r="M31" s="43">
        <f t="shared" ref="M31" si="27">SUM(M28:M30)</f>
        <v>60</v>
      </c>
      <c r="N31" s="43">
        <f t="shared" ref="N31" si="28">SUM(N28:N30)</f>
        <v>80</v>
      </c>
      <c r="O31" s="43">
        <f t="shared" ref="O31" si="29">SUM(O28:O30)</f>
        <v>80</v>
      </c>
      <c r="P31" s="43">
        <f t="shared" ref="P31" si="30">SUM(P28:P30)</f>
        <v>70</v>
      </c>
    </row>
    <row r="32" spans="2:39">
      <c r="B32" s="50" t="s">
        <v>305</v>
      </c>
      <c r="C32" s="51">
        <f>NPV(C31,E31:P31)+D31</f>
        <v>67.002457604927343</v>
      </c>
    </row>
    <row r="33" spans="2:15">
      <c r="B33" s="50" t="s">
        <v>296</v>
      </c>
      <c r="C33" s="52">
        <f>IRR(D31:P31)</f>
        <v>0.2462581047276613</v>
      </c>
    </row>
    <row r="35" spans="2:15">
      <c r="C35" s="42" t="s">
        <v>449</v>
      </c>
      <c r="D35" s="42" t="s">
        <v>260</v>
      </c>
      <c r="E35" s="42" t="s">
        <v>261</v>
      </c>
      <c r="F35" s="42" t="s">
        <v>262</v>
      </c>
      <c r="G35" s="42" t="s">
        <v>263</v>
      </c>
    </row>
    <row r="36" spans="2:15">
      <c r="B36" s="50" t="s">
        <v>450</v>
      </c>
      <c r="C36" s="46">
        <v>6000</v>
      </c>
      <c r="D36" s="46">
        <f>-C11</f>
        <v>3100</v>
      </c>
      <c r="E36" s="46">
        <f>-C12</f>
        <v>3500</v>
      </c>
      <c r="F36" s="46">
        <f>-C13</f>
        <v>150</v>
      </c>
      <c r="G36" s="46">
        <f>-C14</f>
        <v>170</v>
      </c>
      <c r="H36" s="39"/>
    </row>
    <row r="37" spans="2:15">
      <c r="B37" s="50" t="s">
        <v>147</v>
      </c>
      <c r="C37" s="46">
        <v>810</v>
      </c>
      <c r="D37" s="46">
        <f>D38*D36</f>
        <v>540.48296806003486</v>
      </c>
      <c r="E37" s="46">
        <f t="shared" ref="E37:G37" si="31">E38*E36</f>
        <v>621.79343760433073</v>
      </c>
      <c r="F37" s="46">
        <f t="shared" si="31"/>
        <v>44.287267581540327</v>
      </c>
      <c r="G37" s="46">
        <f t="shared" si="31"/>
        <v>41.863877803592686</v>
      </c>
      <c r="H37" s="39"/>
    </row>
    <row r="38" spans="2:15">
      <c r="B38" s="50" t="s">
        <v>440</v>
      </c>
      <c r="C38" s="48">
        <f>C37/C36</f>
        <v>0.13500000000000001</v>
      </c>
      <c r="D38" s="48">
        <f>E11</f>
        <v>0.17434934453549511</v>
      </c>
      <c r="E38" s="48">
        <f>E12</f>
        <v>0.17765526788695163</v>
      </c>
      <c r="F38" s="48">
        <f>E13</f>
        <v>0.29524845054360216</v>
      </c>
      <c r="G38" s="48">
        <f>E14</f>
        <v>0.24625810472701581</v>
      </c>
      <c r="H38" s="39"/>
    </row>
    <row r="39" spans="2:15">
      <c r="B39" s="40"/>
      <c r="C39" s="39"/>
      <c r="D39" s="39"/>
      <c r="E39" s="39"/>
      <c r="F39" s="39"/>
      <c r="G39" s="39"/>
      <c r="H39" s="39"/>
    </row>
    <row r="40" spans="2:15">
      <c r="B40" s="50" t="s">
        <v>7</v>
      </c>
      <c r="C40" s="57">
        <v>0.15</v>
      </c>
      <c r="D40" s="57">
        <v>0.15</v>
      </c>
      <c r="E40" s="57">
        <v>0.15</v>
      </c>
      <c r="F40" s="57">
        <v>0.15</v>
      </c>
      <c r="G40" s="57">
        <v>0.15</v>
      </c>
      <c r="H40" s="39"/>
    </row>
    <row r="41" spans="2:15">
      <c r="B41" s="50" t="s">
        <v>471</v>
      </c>
      <c r="C41" s="46">
        <f>C37/C40</f>
        <v>5400</v>
      </c>
      <c r="D41" s="46">
        <f t="shared" ref="D41:G41" si="32">D37/D40</f>
        <v>3603.2197870668992</v>
      </c>
      <c r="E41" s="46">
        <f t="shared" si="32"/>
        <v>4145.289584028872</v>
      </c>
      <c r="F41" s="46">
        <f t="shared" si="32"/>
        <v>295.24845054360219</v>
      </c>
      <c r="G41" s="46">
        <f t="shared" si="32"/>
        <v>279.09251869061791</v>
      </c>
      <c r="H41" s="39"/>
    </row>
    <row r="42" spans="2:15">
      <c r="B42" s="40"/>
      <c r="C42" s="39"/>
      <c r="D42" s="39"/>
      <c r="E42" s="39"/>
      <c r="F42" s="39"/>
      <c r="G42" s="39"/>
      <c r="H42" s="39"/>
    </row>
    <row r="43" spans="2:15">
      <c r="B43" s="50" t="s">
        <v>451</v>
      </c>
      <c r="C43" s="46"/>
      <c r="D43" s="48">
        <v>0.19</v>
      </c>
      <c r="E43" s="48">
        <v>0.19</v>
      </c>
      <c r="F43" s="48">
        <v>0.15</v>
      </c>
      <c r="G43" s="48">
        <v>0.15</v>
      </c>
      <c r="H43" s="39"/>
    </row>
    <row r="44" spans="2:15">
      <c r="B44" s="50" t="s">
        <v>471</v>
      </c>
      <c r="C44" s="46"/>
      <c r="D44" s="46">
        <f>D37/D43</f>
        <v>2844.6472003159729</v>
      </c>
      <c r="E44" s="46">
        <f t="shared" ref="E44:G44" si="33">E37/E43</f>
        <v>3272.5970400227934</v>
      </c>
      <c r="F44" s="46">
        <f t="shared" si="33"/>
        <v>295.24845054360219</v>
      </c>
      <c r="G44" s="46">
        <f t="shared" si="33"/>
        <v>279.09251869061791</v>
      </c>
      <c r="H44" s="39"/>
    </row>
    <row r="45" spans="2:15">
      <c r="B45" s="56" t="s">
        <v>472</v>
      </c>
    </row>
    <row r="48" spans="2:15">
      <c r="B48" s="50" t="s">
        <v>256</v>
      </c>
      <c r="C48" s="62">
        <v>0</v>
      </c>
      <c r="D48" s="62">
        <v>1</v>
      </c>
      <c r="E48" s="62">
        <v>2</v>
      </c>
      <c r="F48" s="62">
        <v>3</v>
      </c>
      <c r="G48" s="62">
        <v>4</v>
      </c>
      <c r="H48" s="62">
        <v>5</v>
      </c>
      <c r="I48" s="62">
        <v>6</v>
      </c>
      <c r="J48" s="62">
        <v>7</v>
      </c>
      <c r="K48" s="62">
        <v>8</v>
      </c>
      <c r="L48" s="62">
        <v>9</v>
      </c>
      <c r="M48" s="62">
        <v>10</v>
      </c>
      <c r="N48" s="62">
        <v>11</v>
      </c>
      <c r="O48" s="62">
        <v>12</v>
      </c>
    </row>
    <row r="49" spans="2:15">
      <c r="B49" s="50" t="s">
        <v>308</v>
      </c>
      <c r="C49" s="43">
        <f>$C$36</f>
        <v>6000</v>
      </c>
      <c r="D49" s="43">
        <f>C49-C11-C12</f>
        <v>12600</v>
      </c>
      <c r="E49" s="43">
        <f>D49</f>
        <v>12600</v>
      </c>
      <c r="F49" s="43">
        <f t="shared" ref="F49:O49" si="34">E49</f>
        <v>12600</v>
      </c>
      <c r="G49" s="43">
        <f t="shared" si="34"/>
        <v>12600</v>
      </c>
      <c r="H49" s="43">
        <f t="shared" si="34"/>
        <v>12600</v>
      </c>
      <c r="I49" s="43">
        <f t="shared" si="34"/>
        <v>12600</v>
      </c>
      <c r="J49" s="43">
        <f t="shared" si="34"/>
        <v>12600</v>
      </c>
      <c r="K49" s="43">
        <f t="shared" si="34"/>
        <v>12600</v>
      </c>
      <c r="L49" s="43">
        <f t="shared" si="34"/>
        <v>12600</v>
      </c>
      <c r="M49" s="43">
        <f t="shared" si="34"/>
        <v>12600</v>
      </c>
      <c r="N49" s="43">
        <f t="shared" si="34"/>
        <v>12600</v>
      </c>
      <c r="O49" s="43">
        <f t="shared" si="34"/>
        <v>12600</v>
      </c>
    </row>
    <row r="50" spans="2:15">
      <c r="B50" s="50" t="s">
        <v>309</v>
      </c>
      <c r="C50" s="43">
        <f t="shared" ref="C50:C52" si="35">$C$36</f>
        <v>6000</v>
      </c>
      <c r="D50" s="43">
        <f>C50-2*(C13+C14)</f>
        <v>6640</v>
      </c>
      <c r="E50" s="43">
        <f>D50</f>
        <v>6640</v>
      </c>
      <c r="F50" s="43">
        <f>E50</f>
        <v>6640</v>
      </c>
      <c r="G50" s="43">
        <f>F50-2*(C13+C14)</f>
        <v>7280</v>
      </c>
      <c r="H50" s="43">
        <f>G50</f>
        <v>7280</v>
      </c>
      <c r="I50" s="43">
        <f t="shared" ref="I50:J50" si="36">H50</f>
        <v>7280</v>
      </c>
      <c r="J50" s="43">
        <f t="shared" si="36"/>
        <v>7280</v>
      </c>
      <c r="K50" s="43">
        <f>J50-2*(C13+C14)</f>
        <v>7920</v>
      </c>
      <c r="L50" s="43">
        <f>K50</f>
        <v>7920</v>
      </c>
      <c r="M50" s="43">
        <f t="shared" ref="M50:O50" si="37">L50</f>
        <v>7920</v>
      </c>
      <c r="N50" s="43">
        <f t="shared" si="37"/>
        <v>7920</v>
      </c>
      <c r="O50" s="43">
        <f t="shared" si="37"/>
        <v>7920</v>
      </c>
    </row>
    <row r="51" spans="2:15">
      <c r="B51" s="50" t="s">
        <v>310</v>
      </c>
      <c r="C51" s="43">
        <f t="shared" si="35"/>
        <v>6000</v>
      </c>
      <c r="D51" s="43">
        <f>C51-C13-C14-D4</f>
        <v>9020</v>
      </c>
      <c r="E51" s="43">
        <f>D51-E4</f>
        <v>9420</v>
      </c>
      <c r="F51" s="43">
        <f>E51</f>
        <v>9420</v>
      </c>
      <c r="G51" s="43">
        <f>F51-C13-C14</f>
        <v>9740</v>
      </c>
      <c r="H51" s="43">
        <f>G51</f>
        <v>9740</v>
      </c>
      <c r="I51" s="43">
        <f t="shared" ref="I51:J51" si="38">H51</f>
        <v>9740</v>
      </c>
      <c r="J51" s="43">
        <f t="shared" si="38"/>
        <v>9740</v>
      </c>
      <c r="K51" s="43">
        <f>J51-C13-C14</f>
        <v>10060</v>
      </c>
      <c r="L51" s="43">
        <f>K51</f>
        <v>10060</v>
      </c>
      <c r="M51" s="43">
        <f t="shared" ref="M51:O51" si="39">L51</f>
        <v>10060</v>
      </c>
      <c r="N51" s="43">
        <f t="shared" si="39"/>
        <v>10060</v>
      </c>
      <c r="O51" s="43">
        <f t="shared" si="39"/>
        <v>10060</v>
      </c>
    </row>
    <row r="52" spans="2:15">
      <c r="B52" s="50" t="s">
        <v>311</v>
      </c>
      <c r="C52" s="43">
        <f t="shared" si="35"/>
        <v>6000</v>
      </c>
      <c r="D52" s="43">
        <f>C52-C12-C13-C14</f>
        <v>9820</v>
      </c>
      <c r="E52" s="43">
        <f>D52</f>
        <v>9820</v>
      </c>
      <c r="F52" s="43">
        <f>E52</f>
        <v>9820</v>
      </c>
      <c r="G52" s="43">
        <f>F52-C14-C13</f>
        <v>10140</v>
      </c>
      <c r="H52" s="43">
        <f>G52</f>
        <v>10140</v>
      </c>
      <c r="I52" s="43">
        <f t="shared" ref="I52:K52" si="40">H52</f>
        <v>10140</v>
      </c>
      <c r="J52" s="43">
        <f t="shared" si="40"/>
        <v>10140</v>
      </c>
      <c r="K52" s="43">
        <f t="shared" si="40"/>
        <v>10140</v>
      </c>
      <c r="L52" s="43">
        <f>K52-C13-C14</f>
        <v>10460</v>
      </c>
      <c r="M52" s="43">
        <f>L52</f>
        <v>10460</v>
      </c>
      <c r="N52" s="43">
        <f t="shared" ref="N52:O52" si="41">M52</f>
        <v>10460</v>
      </c>
      <c r="O52" s="43">
        <f t="shared" si="41"/>
        <v>10460</v>
      </c>
    </row>
  </sheetData>
  <mergeCells count="7">
    <mergeCell ref="AJ1:AM1"/>
    <mergeCell ref="D26:P26"/>
    <mergeCell ref="S4:T4"/>
    <mergeCell ref="U4:V4"/>
    <mergeCell ref="W4:X4"/>
    <mergeCell ref="D2:P2"/>
    <mergeCell ref="D17:P17"/>
  </mergeCells>
  <printOptions horizontalCentered="1"/>
  <pageMargins left="0.79000000000000015" right="0.79000000000000015" top="0.98" bottom="0.98" header="0.51" footer="0.51"/>
  <pageSetup scale="82" orientation="landscape" horizontalDpi="300" verticalDpi="300"/>
  <headerFooter>
    <oddFooter>&amp;R&amp;7MRAC - &amp;F_x000D_&amp;D - &amp;T</oddFooter>
  </headerFooter>
  <ignoredErrors>
    <ignoredError sqref="D13:D14 E13:E14 D22:P22 D31" emptyCellReferenc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C24E3-6E08-424F-B81B-D8338D35B7A3}">
  <dimension ref="A1:AI32"/>
  <sheetViews>
    <sheetView showGridLines="0" workbookViewId="0">
      <selection activeCell="H7" sqref="H7"/>
    </sheetView>
  </sheetViews>
  <sheetFormatPr defaultColWidth="11" defaultRowHeight="15.75" customHeight="1"/>
  <cols>
    <col min="1" max="1" width="16.5" style="80" bestFit="1" customWidth="1"/>
    <col min="2" max="3" width="8.375" style="66" hidden="1" customWidth="1"/>
    <col min="4" max="8" width="9.625" style="66" customWidth="1"/>
    <col min="9" max="9" width="3.875" style="66" customWidth="1"/>
    <col min="10" max="10" width="16.5" style="80" bestFit="1" customWidth="1"/>
    <col min="11" max="12" width="8.375" style="66" hidden="1" customWidth="1"/>
    <col min="13" max="17" width="9.625" style="66" customWidth="1"/>
    <col min="18" max="18" width="3.875" style="66" customWidth="1"/>
    <col min="19" max="19" width="16.5" style="80" bestFit="1" customWidth="1"/>
    <col min="20" max="21" width="8.375" style="66" hidden="1" customWidth="1"/>
    <col min="22" max="26" width="9.625" style="66" customWidth="1"/>
    <col min="27" max="27" width="11" style="66"/>
    <col min="28" max="28" width="17" style="66" bestFit="1" customWidth="1"/>
    <col min="29" max="16384" width="11" style="66"/>
  </cols>
  <sheetData>
    <row r="1" spans="1:35" ht="15.75" customHeight="1" thickBot="1">
      <c r="A1" s="592" t="s">
        <v>475</v>
      </c>
      <c r="B1" s="593"/>
      <c r="C1" s="593"/>
      <c r="D1" s="593"/>
      <c r="E1" s="593"/>
      <c r="F1" s="593"/>
      <c r="G1" s="593"/>
      <c r="H1" s="594"/>
      <c r="J1" s="592" t="s">
        <v>476</v>
      </c>
      <c r="K1" s="593"/>
      <c r="L1" s="593"/>
      <c r="M1" s="593"/>
      <c r="N1" s="593"/>
      <c r="O1" s="593"/>
      <c r="P1" s="593"/>
      <c r="Q1" s="594"/>
      <c r="S1" s="592" t="s">
        <v>477</v>
      </c>
      <c r="T1" s="593"/>
      <c r="U1" s="593"/>
      <c r="V1" s="593"/>
      <c r="W1" s="593"/>
      <c r="X1" s="593"/>
      <c r="Y1" s="593"/>
      <c r="Z1" s="594"/>
      <c r="AB1" s="67" t="s">
        <v>478</v>
      </c>
      <c r="AC1" s="66">
        <v>0</v>
      </c>
      <c r="AD1" s="66">
        <v>50000</v>
      </c>
      <c r="AE1" s="66">
        <v>100000</v>
      </c>
      <c r="AF1" s="66">
        <v>150000</v>
      </c>
      <c r="AG1" s="66">
        <v>200000</v>
      </c>
      <c r="AH1" s="66">
        <v>250000</v>
      </c>
      <c r="AI1" s="66">
        <v>300000</v>
      </c>
    </row>
    <row r="2" spans="1:35" s="70" customFormat="1" ht="15.75" customHeight="1" thickBot="1">
      <c r="A2" s="68" t="s">
        <v>479</v>
      </c>
      <c r="B2" s="65" t="s">
        <v>445</v>
      </c>
      <c r="C2" s="65" t="s">
        <v>445</v>
      </c>
      <c r="D2" s="69" t="s">
        <v>445</v>
      </c>
      <c r="E2" s="69" t="s">
        <v>446</v>
      </c>
      <c r="F2" s="69" t="s">
        <v>447</v>
      </c>
      <c r="G2" s="69" t="s">
        <v>448</v>
      </c>
      <c r="H2" s="69" t="s">
        <v>480</v>
      </c>
      <c r="J2" s="68" t="s">
        <v>479</v>
      </c>
      <c r="K2" s="65" t="s">
        <v>445</v>
      </c>
      <c r="L2" s="65" t="s">
        <v>445</v>
      </c>
      <c r="M2" s="69" t="s">
        <v>445</v>
      </c>
      <c r="N2" s="69" t="s">
        <v>446</v>
      </c>
      <c r="O2" s="69" t="s">
        <v>447</v>
      </c>
      <c r="P2" s="69" t="s">
        <v>448</v>
      </c>
      <c r="Q2" s="69" t="s">
        <v>480</v>
      </c>
      <c r="S2" s="68" t="s">
        <v>479</v>
      </c>
      <c r="T2" s="65" t="s">
        <v>445</v>
      </c>
      <c r="U2" s="65" t="s">
        <v>445</v>
      </c>
      <c r="V2" s="69" t="s">
        <v>445</v>
      </c>
      <c r="W2" s="69" t="s">
        <v>446</v>
      </c>
      <c r="X2" s="69" t="s">
        <v>447</v>
      </c>
      <c r="Y2" s="69" t="s">
        <v>448</v>
      </c>
      <c r="Z2" s="69" t="s">
        <v>480</v>
      </c>
      <c r="AB2" s="67" t="s">
        <v>481</v>
      </c>
      <c r="AC2" s="71">
        <v>0</v>
      </c>
      <c r="AD2" s="71">
        <v>0.05</v>
      </c>
      <c r="AE2" s="71">
        <v>0.1</v>
      </c>
      <c r="AF2" s="71">
        <v>0.15</v>
      </c>
      <c r="AG2" s="71">
        <v>0.2</v>
      </c>
      <c r="AH2" s="71">
        <v>0.25</v>
      </c>
      <c r="AI2" s="71">
        <v>0.3</v>
      </c>
    </row>
    <row r="3" spans="1:35" s="70" customFormat="1" ht="15.75" customHeight="1">
      <c r="A3" s="72" t="s">
        <v>450</v>
      </c>
      <c r="B3" s="66">
        <v>1000000</v>
      </c>
      <c r="C3" s="66">
        <v>1000000</v>
      </c>
      <c r="D3" s="73">
        <v>1000000</v>
      </c>
      <c r="E3" s="73">
        <v>1000000</v>
      </c>
      <c r="F3" s="73">
        <v>1000000</v>
      </c>
      <c r="G3" s="73">
        <v>1000000</v>
      </c>
      <c r="H3" s="73">
        <v>1000000</v>
      </c>
      <c r="J3" s="72" t="s">
        <v>450</v>
      </c>
      <c r="K3" s="66">
        <v>1000000</v>
      </c>
      <c r="L3" s="66">
        <v>1000000</v>
      </c>
      <c r="M3" s="73">
        <v>1000000</v>
      </c>
      <c r="N3" s="73">
        <v>1000000</v>
      </c>
      <c r="O3" s="73">
        <v>1000000</v>
      </c>
      <c r="P3" s="73">
        <v>1000000</v>
      </c>
      <c r="Q3" s="73">
        <v>1000000</v>
      </c>
      <c r="S3" s="72" t="s">
        <v>450</v>
      </c>
      <c r="T3" s="66">
        <v>1000000</v>
      </c>
      <c r="U3" s="66">
        <v>1000000</v>
      </c>
      <c r="V3" s="73">
        <v>1000000</v>
      </c>
      <c r="W3" s="73">
        <v>1000000</v>
      </c>
      <c r="X3" s="73">
        <v>1000000</v>
      </c>
      <c r="Y3" s="73">
        <v>1000000</v>
      </c>
      <c r="Z3" s="73">
        <v>1000000</v>
      </c>
      <c r="AB3" s="67" t="s">
        <v>482</v>
      </c>
      <c r="AC3" s="71">
        <v>-0.2</v>
      </c>
      <c r="AD3" s="71">
        <v>-0.1</v>
      </c>
      <c r="AE3" s="71">
        <v>0</v>
      </c>
      <c r="AF3" s="71">
        <v>0.1</v>
      </c>
      <c r="AG3" s="71">
        <v>0.2</v>
      </c>
      <c r="AH3" s="71">
        <v>0.3</v>
      </c>
      <c r="AI3" s="71">
        <v>0.4</v>
      </c>
    </row>
    <row r="4" spans="1:35" s="70" customFormat="1" ht="15.75" customHeight="1">
      <c r="A4" s="72" t="s">
        <v>483</v>
      </c>
      <c r="B4" s="66">
        <v>0</v>
      </c>
      <c r="C4" s="66">
        <v>0</v>
      </c>
      <c r="D4" s="73">
        <v>0</v>
      </c>
      <c r="E4" s="73">
        <v>0</v>
      </c>
      <c r="F4" s="73">
        <v>0</v>
      </c>
      <c r="G4" s="73">
        <v>0</v>
      </c>
      <c r="H4" s="73">
        <v>0</v>
      </c>
      <c r="J4" s="72" t="s">
        <v>483</v>
      </c>
      <c r="K4" s="66">
        <v>500000</v>
      </c>
      <c r="L4" s="66">
        <v>500000</v>
      </c>
      <c r="M4" s="73">
        <v>500000</v>
      </c>
      <c r="N4" s="73">
        <v>500000</v>
      </c>
      <c r="O4" s="73">
        <v>500000</v>
      </c>
      <c r="P4" s="73">
        <v>500000</v>
      </c>
      <c r="Q4" s="73">
        <v>500000</v>
      </c>
      <c r="S4" s="72" t="s">
        <v>483</v>
      </c>
      <c r="T4" s="66">
        <v>600000</v>
      </c>
      <c r="U4" s="66">
        <v>600000</v>
      </c>
      <c r="V4" s="73">
        <v>600000</v>
      </c>
      <c r="W4" s="73">
        <v>600000</v>
      </c>
      <c r="X4" s="73">
        <v>600000</v>
      </c>
      <c r="Y4" s="73">
        <v>600000</v>
      </c>
      <c r="Z4" s="73">
        <v>600000</v>
      </c>
      <c r="AB4" s="67" t="s">
        <v>484</v>
      </c>
      <c r="AC4" s="71">
        <v>-0.3</v>
      </c>
      <c r="AD4" s="71">
        <v>-0.17499999999999999</v>
      </c>
      <c r="AE4" s="71">
        <v>-0.05</v>
      </c>
      <c r="AF4" s="71">
        <v>7.4999999999999997E-2</v>
      </c>
      <c r="AG4" s="71">
        <v>0.2</v>
      </c>
      <c r="AH4" s="71">
        <v>0.32500000000000001</v>
      </c>
      <c r="AI4" s="71">
        <v>0.45</v>
      </c>
    </row>
    <row r="5" spans="1:35" s="70" customFormat="1" ht="15.75" customHeight="1">
      <c r="A5" s="72" t="s">
        <v>485</v>
      </c>
      <c r="B5" s="66">
        <f t="shared" ref="B5:C5" si="0">B3-B4</f>
        <v>1000000</v>
      </c>
      <c r="C5" s="66">
        <f t="shared" si="0"/>
        <v>1000000</v>
      </c>
      <c r="D5" s="73">
        <f>D3-D4</f>
        <v>1000000</v>
      </c>
      <c r="E5" s="73">
        <f t="shared" ref="E5:H5" si="1">E3-E4</f>
        <v>1000000</v>
      </c>
      <c r="F5" s="73">
        <f t="shared" si="1"/>
        <v>1000000</v>
      </c>
      <c r="G5" s="73">
        <f t="shared" si="1"/>
        <v>1000000</v>
      </c>
      <c r="H5" s="73">
        <f t="shared" si="1"/>
        <v>1000000</v>
      </c>
      <c r="J5" s="72" t="s">
        <v>485</v>
      </c>
      <c r="K5" s="66">
        <f t="shared" ref="K5:L5" si="2">K3-K4</f>
        <v>500000</v>
      </c>
      <c r="L5" s="66">
        <f t="shared" si="2"/>
        <v>500000</v>
      </c>
      <c r="M5" s="73">
        <f>M3-M4</f>
        <v>500000</v>
      </c>
      <c r="N5" s="73">
        <f t="shared" ref="N5:Q5" si="3">N3-N4</f>
        <v>500000</v>
      </c>
      <c r="O5" s="73">
        <f t="shared" si="3"/>
        <v>500000</v>
      </c>
      <c r="P5" s="73">
        <f t="shared" si="3"/>
        <v>500000</v>
      </c>
      <c r="Q5" s="73">
        <f t="shared" si="3"/>
        <v>500000</v>
      </c>
      <c r="S5" s="72" t="s">
        <v>485</v>
      </c>
      <c r="T5" s="66">
        <f t="shared" ref="T5:U5" si="4">T3-T4</f>
        <v>400000</v>
      </c>
      <c r="U5" s="66">
        <f t="shared" si="4"/>
        <v>400000</v>
      </c>
      <c r="V5" s="73">
        <f>V3-V4</f>
        <v>400000</v>
      </c>
      <c r="W5" s="73">
        <f t="shared" ref="W5:Z5" si="5">W3-W4</f>
        <v>400000</v>
      </c>
      <c r="X5" s="73">
        <f t="shared" si="5"/>
        <v>400000</v>
      </c>
      <c r="Y5" s="73">
        <f t="shared" si="5"/>
        <v>400000</v>
      </c>
      <c r="Z5" s="73">
        <f t="shared" si="5"/>
        <v>400000</v>
      </c>
      <c r="AB5" s="67"/>
    </row>
    <row r="6" spans="1:35" s="70" customFormat="1" ht="15.75" customHeight="1">
      <c r="A6" s="72" t="s">
        <v>486</v>
      </c>
      <c r="B6" s="74">
        <v>0</v>
      </c>
      <c r="C6" s="74">
        <v>0</v>
      </c>
      <c r="D6" s="75">
        <v>0</v>
      </c>
      <c r="E6" s="75">
        <v>0</v>
      </c>
      <c r="F6" s="75">
        <v>0</v>
      </c>
      <c r="G6" s="75">
        <v>0</v>
      </c>
      <c r="H6" s="75">
        <v>0</v>
      </c>
      <c r="J6" s="72" t="s">
        <v>486</v>
      </c>
      <c r="K6" s="74">
        <v>0</v>
      </c>
      <c r="L6" s="74">
        <v>0</v>
      </c>
      <c r="M6" s="75">
        <v>0</v>
      </c>
      <c r="N6" s="75">
        <v>0</v>
      </c>
      <c r="O6" s="75">
        <v>0</v>
      </c>
      <c r="P6" s="75">
        <v>0</v>
      </c>
      <c r="Q6" s="75">
        <v>0</v>
      </c>
      <c r="S6" s="72" t="s">
        <v>486</v>
      </c>
      <c r="T6" s="74">
        <v>0</v>
      </c>
      <c r="U6" s="74">
        <v>0</v>
      </c>
      <c r="V6" s="75">
        <v>0</v>
      </c>
      <c r="W6" s="75">
        <v>0</v>
      </c>
      <c r="X6" s="75">
        <v>0</v>
      </c>
      <c r="Y6" s="75">
        <v>0</v>
      </c>
      <c r="Z6" s="75">
        <v>0</v>
      </c>
      <c r="AB6" s="67" t="s">
        <v>478</v>
      </c>
      <c r="AC6" s="66">
        <v>0</v>
      </c>
      <c r="AD6" s="66">
        <v>50000</v>
      </c>
      <c r="AE6" s="66">
        <v>100000</v>
      </c>
      <c r="AF6" s="66">
        <v>150000</v>
      </c>
      <c r="AG6" s="66">
        <v>200000</v>
      </c>
      <c r="AH6" s="66">
        <v>250000</v>
      </c>
      <c r="AI6" s="66">
        <v>300000</v>
      </c>
    </row>
    <row r="7" spans="1:35" s="70" customFormat="1" ht="15.75" customHeight="1">
      <c r="A7" s="72" t="s">
        <v>487</v>
      </c>
      <c r="B7" s="74">
        <v>0.2</v>
      </c>
      <c r="C7" s="74">
        <v>0.2</v>
      </c>
      <c r="D7" s="75">
        <v>0.2</v>
      </c>
      <c r="E7" s="75">
        <v>0.2</v>
      </c>
      <c r="F7" s="75">
        <v>0.2</v>
      </c>
      <c r="G7" s="75">
        <v>0.2</v>
      </c>
      <c r="H7" s="75">
        <v>0.2</v>
      </c>
      <c r="J7" s="72" t="s">
        <v>487</v>
      </c>
      <c r="K7" s="74">
        <v>0.2</v>
      </c>
      <c r="L7" s="74">
        <v>0.2</v>
      </c>
      <c r="M7" s="75">
        <v>0.2</v>
      </c>
      <c r="N7" s="75">
        <v>0.2</v>
      </c>
      <c r="O7" s="75">
        <v>0.2</v>
      </c>
      <c r="P7" s="75">
        <v>0.2</v>
      </c>
      <c r="Q7" s="75">
        <v>0.2</v>
      </c>
      <c r="S7" s="72" t="s">
        <v>487</v>
      </c>
      <c r="T7" s="74">
        <v>0.2</v>
      </c>
      <c r="U7" s="74">
        <v>0.2</v>
      </c>
      <c r="V7" s="75">
        <v>0.2</v>
      </c>
      <c r="W7" s="75">
        <v>0.2</v>
      </c>
      <c r="X7" s="75">
        <v>0.2</v>
      </c>
      <c r="Y7" s="75">
        <v>0.2</v>
      </c>
      <c r="Z7" s="75">
        <v>0.2</v>
      </c>
      <c r="AB7" s="67" t="s">
        <v>488</v>
      </c>
      <c r="AC7" s="76">
        <v>0</v>
      </c>
      <c r="AD7" s="76">
        <v>0.1</v>
      </c>
      <c r="AE7" s="76">
        <v>0.2</v>
      </c>
      <c r="AF7" s="76">
        <v>0.3</v>
      </c>
      <c r="AG7" s="76">
        <v>0.4</v>
      </c>
      <c r="AH7" s="76">
        <v>0.5</v>
      </c>
      <c r="AI7" s="76">
        <v>0.6</v>
      </c>
    </row>
    <row r="8" spans="1:35" s="70" customFormat="1" ht="15.75" customHeight="1">
      <c r="A8" s="72" t="s">
        <v>489</v>
      </c>
      <c r="B8" s="66">
        <v>500000</v>
      </c>
      <c r="C8" s="66">
        <v>500000</v>
      </c>
      <c r="D8" s="73">
        <v>500000</v>
      </c>
      <c r="E8" s="73">
        <v>500000</v>
      </c>
      <c r="F8" s="73">
        <v>500000</v>
      </c>
      <c r="G8" s="73">
        <v>500000</v>
      </c>
      <c r="H8" s="73">
        <v>500000</v>
      </c>
      <c r="J8" s="72" t="s">
        <v>489</v>
      </c>
      <c r="K8" s="66">
        <v>250000</v>
      </c>
      <c r="L8" s="66">
        <v>250000</v>
      </c>
      <c r="M8" s="73">
        <v>250000</v>
      </c>
      <c r="N8" s="73">
        <v>250000</v>
      </c>
      <c r="O8" s="73">
        <v>250000</v>
      </c>
      <c r="P8" s="73">
        <v>250000</v>
      </c>
      <c r="Q8" s="73">
        <v>250000</v>
      </c>
      <c r="S8" s="72" t="s">
        <v>489</v>
      </c>
      <c r="T8" s="66">
        <v>200000</v>
      </c>
      <c r="U8" s="66">
        <v>200000</v>
      </c>
      <c r="V8" s="73">
        <v>200000</v>
      </c>
      <c r="W8" s="73">
        <v>200000</v>
      </c>
      <c r="X8" s="73">
        <v>200000</v>
      </c>
      <c r="Y8" s="73">
        <v>200000</v>
      </c>
      <c r="Z8" s="73">
        <v>200000</v>
      </c>
      <c r="AB8" s="67" t="s">
        <v>490</v>
      </c>
      <c r="AC8" s="76">
        <v>-0.4</v>
      </c>
      <c r="AD8" s="76">
        <v>-0.2</v>
      </c>
      <c r="AE8" s="76">
        <v>0</v>
      </c>
      <c r="AF8" s="76">
        <v>0.2</v>
      </c>
      <c r="AG8" s="76">
        <v>0.4</v>
      </c>
      <c r="AH8" s="76">
        <v>0.6</v>
      </c>
      <c r="AI8" s="76">
        <v>0.8</v>
      </c>
    </row>
    <row r="9" spans="1:35" s="70" customFormat="1" ht="15.75" customHeight="1" thickBot="1">
      <c r="A9" s="77" t="s">
        <v>491</v>
      </c>
      <c r="B9" s="78">
        <f t="shared" ref="B9:C9" si="6">B5/B8</f>
        <v>2</v>
      </c>
      <c r="C9" s="78">
        <f t="shared" si="6"/>
        <v>2</v>
      </c>
      <c r="D9" s="79">
        <f>D5/D8</f>
        <v>2</v>
      </c>
      <c r="E9" s="79">
        <f t="shared" ref="E9:H9" si="7">E5/E8</f>
        <v>2</v>
      </c>
      <c r="F9" s="79">
        <f t="shared" si="7"/>
        <v>2</v>
      </c>
      <c r="G9" s="79">
        <f t="shared" si="7"/>
        <v>2</v>
      </c>
      <c r="H9" s="79">
        <f t="shared" si="7"/>
        <v>2</v>
      </c>
      <c r="J9" s="77" t="s">
        <v>491</v>
      </c>
      <c r="K9" s="78">
        <f t="shared" ref="K9:L9" si="8">K5/K8</f>
        <v>2</v>
      </c>
      <c r="L9" s="78">
        <f t="shared" si="8"/>
        <v>2</v>
      </c>
      <c r="M9" s="79">
        <f>M5/M8</f>
        <v>2</v>
      </c>
      <c r="N9" s="79">
        <f t="shared" ref="N9:Q9" si="9">N5/N8</f>
        <v>2</v>
      </c>
      <c r="O9" s="79">
        <f t="shared" si="9"/>
        <v>2</v>
      </c>
      <c r="P9" s="79">
        <f t="shared" si="9"/>
        <v>2</v>
      </c>
      <c r="Q9" s="79">
        <f t="shared" si="9"/>
        <v>2</v>
      </c>
      <c r="S9" s="77" t="s">
        <v>491</v>
      </c>
      <c r="T9" s="78">
        <f t="shared" ref="T9:U9" si="10">T5/T8</f>
        <v>2</v>
      </c>
      <c r="U9" s="78">
        <f t="shared" si="10"/>
        <v>2</v>
      </c>
      <c r="V9" s="79">
        <f>V5/V8</f>
        <v>2</v>
      </c>
      <c r="W9" s="79">
        <f t="shared" ref="W9:Z9" si="11">W5/W8</f>
        <v>2</v>
      </c>
      <c r="X9" s="79">
        <f t="shared" si="11"/>
        <v>2</v>
      </c>
      <c r="Y9" s="79">
        <f t="shared" si="11"/>
        <v>2</v>
      </c>
      <c r="Z9" s="79">
        <f t="shared" si="11"/>
        <v>2</v>
      </c>
      <c r="AB9" s="67" t="s">
        <v>492</v>
      </c>
      <c r="AC9" s="76">
        <v>-0.6</v>
      </c>
      <c r="AD9" s="76">
        <v>-0.35</v>
      </c>
      <c r="AE9" s="76">
        <v>-0.1</v>
      </c>
      <c r="AF9" s="76">
        <v>0.15</v>
      </c>
      <c r="AG9" s="76">
        <v>0.4</v>
      </c>
      <c r="AH9" s="76">
        <v>0.65</v>
      </c>
      <c r="AI9" s="76">
        <v>0.9</v>
      </c>
    </row>
    <row r="10" spans="1:35" s="70" customFormat="1" ht="15.75" customHeight="1" thickBot="1">
      <c r="A10" s="80"/>
      <c r="J10" s="80"/>
      <c r="S10" s="80"/>
    </row>
    <row r="11" spans="1:35" ht="15.75" customHeight="1">
      <c r="A11" s="81" t="s">
        <v>478</v>
      </c>
      <c r="B11" s="82">
        <v>0</v>
      </c>
      <c r="C11" s="82">
        <v>50000</v>
      </c>
      <c r="D11" s="83">
        <v>100000</v>
      </c>
      <c r="E11" s="83">
        <v>150000</v>
      </c>
      <c r="F11" s="83">
        <v>200000</v>
      </c>
      <c r="G11" s="83">
        <v>250000</v>
      </c>
      <c r="H11" s="83">
        <v>300000</v>
      </c>
      <c r="J11" s="81" t="s">
        <v>478</v>
      </c>
      <c r="K11" s="82">
        <v>0</v>
      </c>
      <c r="L11" s="82">
        <v>50000</v>
      </c>
      <c r="M11" s="83">
        <v>100000</v>
      </c>
      <c r="N11" s="83">
        <v>150000</v>
      </c>
      <c r="O11" s="83">
        <v>200000</v>
      </c>
      <c r="P11" s="83">
        <v>250000</v>
      </c>
      <c r="Q11" s="83">
        <v>300000</v>
      </c>
      <c r="S11" s="81" t="s">
        <v>478</v>
      </c>
      <c r="T11" s="83">
        <v>0</v>
      </c>
      <c r="U11" s="83">
        <v>50000</v>
      </c>
      <c r="V11" s="83">
        <v>100000</v>
      </c>
      <c r="W11" s="83">
        <v>150000</v>
      </c>
      <c r="X11" s="83">
        <v>200000</v>
      </c>
      <c r="Y11" s="83">
        <v>250000</v>
      </c>
      <c r="Z11" s="83">
        <v>300000</v>
      </c>
      <c r="AB11" s="70"/>
      <c r="AC11" s="70"/>
      <c r="AD11" s="70"/>
      <c r="AE11" s="70"/>
      <c r="AF11" s="70"/>
      <c r="AG11" s="70"/>
      <c r="AH11" s="70"/>
      <c r="AI11" s="70"/>
    </row>
    <row r="12" spans="1:35" ht="15.75" customHeight="1">
      <c r="A12" s="72" t="s">
        <v>155</v>
      </c>
      <c r="B12" s="66">
        <f t="shared" ref="B12:C12" si="12">B4*B7</f>
        <v>0</v>
      </c>
      <c r="C12" s="66">
        <f t="shared" si="12"/>
        <v>0</v>
      </c>
      <c r="D12" s="73">
        <f>D4*D7</f>
        <v>0</v>
      </c>
      <c r="E12" s="73">
        <f t="shared" ref="E12:H12" si="13">E4*E7</f>
        <v>0</v>
      </c>
      <c r="F12" s="73">
        <f t="shared" si="13"/>
        <v>0</v>
      </c>
      <c r="G12" s="73">
        <f t="shared" si="13"/>
        <v>0</v>
      </c>
      <c r="H12" s="73">
        <f t="shared" si="13"/>
        <v>0</v>
      </c>
      <c r="J12" s="72" t="s">
        <v>155</v>
      </c>
      <c r="K12" s="66">
        <f t="shared" ref="K12:L12" si="14">K4*K7</f>
        <v>100000</v>
      </c>
      <c r="L12" s="66">
        <f t="shared" si="14"/>
        <v>100000</v>
      </c>
      <c r="M12" s="73">
        <f>M4*M7</f>
        <v>100000</v>
      </c>
      <c r="N12" s="73">
        <f t="shared" ref="N12:Q12" si="15">N4*N7</f>
        <v>100000</v>
      </c>
      <c r="O12" s="73">
        <f t="shared" si="15"/>
        <v>100000</v>
      </c>
      <c r="P12" s="73">
        <f t="shared" si="15"/>
        <v>100000</v>
      </c>
      <c r="Q12" s="73">
        <f t="shared" si="15"/>
        <v>100000</v>
      </c>
      <c r="S12" s="72" t="s">
        <v>155</v>
      </c>
      <c r="T12" s="73">
        <f t="shared" ref="T12:U12" si="16">T4*T7</f>
        <v>120000</v>
      </c>
      <c r="U12" s="73">
        <f t="shared" si="16"/>
        <v>120000</v>
      </c>
      <c r="V12" s="73">
        <f>V4*V7</f>
        <v>120000</v>
      </c>
      <c r="W12" s="73">
        <f t="shared" ref="W12:Z12" si="17">W4*W7</f>
        <v>120000</v>
      </c>
      <c r="X12" s="73">
        <f t="shared" si="17"/>
        <v>120000</v>
      </c>
      <c r="Y12" s="73">
        <f t="shared" si="17"/>
        <v>120000</v>
      </c>
      <c r="Z12" s="73">
        <f t="shared" si="17"/>
        <v>120000</v>
      </c>
    </row>
    <row r="13" spans="1:35" ht="15.75" customHeight="1">
      <c r="A13" s="72" t="s">
        <v>25</v>
      </c>
      <c r="B13" s="66">
        <f t="shared" ref="B13:C13" si="18">B11-B12</f>
        <v>0</v>
      </c>
      <c r="C13" s="66">
        <f t="shared" si="18"/>
        <v>50000</v>
      </c>
      <c r="D13" s="73">
        <f>D11-D12</f>
        <v>100000</v>
      </c>
      <c r="E13" s="73">
        <f t="shared" ref="E13:H13" si="19">E11-E12</f>
        <v>150000</v>
      </c>
      <c r="F13" s="73">
        <f t="shared" si="19"/>
        <v>200000</v>
      </c>
      <c r="G13" s="73">
        <f t="shared" si="19"/>
        <v>250000</v>
      </c>
      <c r="H13" s="73">
        <f t="shared" si="19"/>
        <v>300000</v>
      </c>
      <c r="J13" s="72" t="s">
        <v>25</v>
      </c>
      <c r="K13" s="66">
        <f t="shared" ref="K13:L13" si="20">K11-K12</f>
        <v>-100000</v>
      </c>
      <c r="L13" s="66">
        <f t="shared" si="20"/>
        <v>-50000</v>
      </c>
      <c r="M13" s="73">
        <f>M11-M12</f>
        <v>0</v>
      </c>
      <c r="N13" s="73">
        <f t="shared" ref="N13:Q13" si="21">N11-N12</f>
        <v>50000</v>
      </c>
      <c r="O13" s="73">
        <f t="shared" si="21"/>
        <v>100000</v>
      </c>
      <c r="P13" s="73">
        <f t="shared" si="21"/>
        <v>150000</v>
      </c>
      <c r="Q13" s="73">
        <f t="shared" si="21"/>
        <v>200000</v>
      </c>
      <c r="S13" s="72" t="s">
        <v>25</v>
      </c>
      <c r="T13" s="73">
        <f t="shared" ref="T13:U13" si="22">T11-T12</f>
        <v>-120000</v>
      </c>
      <c r="U13" s="73">
        <f t="shared" si="22"/>
        <v>-70000</v>
      </c>
      <c r="V13" s="73">
        <f>V11-V12</f>
        <v>-20000</v>
      </c>
      <c r="W13" s="73">
        <f t="shared" ref="W13:Z13" si="23">W11-W12</f>
        <v>30000</v>
      </c>
      <c r="X13" s="73">
        <f t="shared" si="23"/>
        <v>80000</v>
      </c>
      <c r="Y13" s="73">
        <f t="shared" si="23"/>
        <v>130000</v>
      </c>
      <c r="Z13" s="73">
        <f t="shared" si="23"/>
        <v>180000</v>
      </c>
    </row>
    <row r="14" spans="1:35" ht="15.75" customHeight="1">
      <c r="A14" s="72" t="s">
        <v>486</v>
      </c>
      <c r="B14" s="66">
        <f t="shared" ref="B14:C14" si="24">B13*B6</f>
        <v>0</v>
      </c>
      <c r="C14" s="66">
        <f t="shared" si="24"/>
        <v>0</v>
      </c>
      <c r="D14" s="73">
        <f>D13*D6</f>
        <v>0</v>
      </c>
      <c r="E14" s="73">
        <f t="shared" ref="E14:H14" si="25">E13*E6</f>
        <v>0</v>
      </c>
      <c r="F14" s="73">
        <f t="shared" si="25"/>
        <v>0</v>
      </c>
      <c r="G14" s="73">
        <f t="shared" si="25"/>
        <v>0</v>
      </c>
      <c r="H14" s="73">
        <f t="shared" si="25"/>
        <v>0</v>
      </c>
      <c r="J14" s="72" t="s">
        <v>486</v>
      </c>
      <c r="K14" s="66">
        <f t="shared" ref="K14:L14" si="26">K13*K6</f>
        <v>0</v>
      </c>
      <c r="L14" s="66">
        <f t="shared" si="26"/>
        <v>0</v>
      </c>
      <c r="M14" s="73">
        <f>M13*M6</f>
        <v>0</v>
      </c>
      <c r="N14" s="73">
        <f t="shared" ref="N14:Q14" si="27">N13*N6</f>
        <v>0</v>
      </c>
      <c r="O14" s="73">
        <f t="shared" si="27"/>
        <v>0</v>
      </c>
      <c r="P14" s="73">
        <f t="shared" si="27"/>
        <v>0</v>
      </c>
      <c r="Q14" s="73">
        <f t="shared" si="27"/>
        <v>0</v>
      </c>
      <c r="S14" s="72" t="s">
        <v>486</v>
      </c>
      <c r="T14" s="73">
        <f t="shared" ref="T14:U14" si="28">T13*T6</f>
        <v>0</v>
      </c>
      <c r="U14" s="73">
        <f t="shared" si="28"/>
        <v>0</v>
      </c>
      <c r="V14" s="73">
        <f>V13*V6</f>
        <v>0</v>
      </c>
      <c r="W14" s="73">
        <f t="shared" ref="W14:Z14" si="29">W13*W6</f>
        <v>0</v>
      </c>
      <c r="X14" s="73">
        <f t="shared" si="29"/>
        <v>0</v>
      </c>
      <c r="Y14" s="73">
        <f t="shared" si="29"/>
        <v>0</v>
      </c>
      <c r="Z14" s="73">
        <f t="shared" si="29"/>
        <v>0</v>
      </c>
    </row>
    <row r="15" spans="1:35" ht="15.75" customHeight="1" thickBot="1">
      <c r="A15" s="72" t="s">
        <v>88</v>
      </c>
      <c r="B15" s="66">
        <f t="shared" ref="B15:C15" si="30">B13-B14</f>
        <v>0</v>
      </c>
      <c r="C15" s="66">
        <f t="shared" si="30"/>
        <v>50000</v>
      </c>
      <c r="D15" s="73">
        <f>D13-D14</f>
        <v>100000</v>
      </c>
      <c r="E15" s="73">
        <f t="shared" ref="E15:H15" si="31">E13-E14</f>
        <v>150000</v>
      </c>
      <c r="F15" s="73">
        <f t="shared" si="31"/>
        <v>200000</v>
      </c>
      <c r="G15" s="73">
        <f t="shared" si="31"/>
        <v>250000</v>
      </c>
      <c r="H15" s="73">
        <f t="shared" si="31"/>
        <v>300000</v>
      </c>
      <c r="J15" s="72" t="s">
        <v>88</v>
      </c>
      <c r="K15" s="66">
        <f t="shared" ref="K15:L15" si="32">K13-K14</f>
        <v>-100000</v>
      </c>
      <c r="L15" s="66">
        <f t="shared" si="32"/>
        <v>-50000</v>
      </c>
      <c r="M15" s="73">
        <f>M13-M14</f>
        <v>0</v>
      </c>
      <c r="N15" s="73">
        <f t="shared" ref="N15:Q15" si="33">N13-N14</f>
        <v>50000</v>
      </c>
      <c r="O15" s="73">
        <f t="shared" si="33"/>
        <v>100000</v>
      </c>
      <c r="P15" s="73">
        <f t="shared" si="33"/>
        <v>150000</v>
      </c>
      <c r="Q15" s="73">
        <f t="shared" si="33"/>
        <v>200000</v>
      </c>
      <c r="S15" s="72" t="s">
        <v>88</v>
      </c>
      <c r="T15" s="73">
        <f t="shared" ref="T15:U15" si="34">T13-T14</f>
        <v>-120000</v>
      </c>
      <c r="U15" s="73">
        <f t="shared" si="34"/>
        <v>-70000</v>
      </c>
      <c r="V15" s="73">
        <f>V13-V14</f>
        <v>-20000</v>
      </c>
      <c r="W15" s="73">
        <f t="shared" ref="W15:Z15" si="35">W13-W14</f>
        <v>30000</v>
      </c>
      <c r="X15" s="73">
        <f t="shared" si="35"/>
        <v>80000</v>
      </c>
      <c r="Y15" s="73">
        <f t="shared" si="35"/>
        <v>130000</v>
      </c>
      <c r="Z15" s="73">
        <f t="shared" si="35"/>
        <v>180000</v>
      </c>
    </row>
    <row r="16" spans="1:35" ht="15.75" customHeight="1">
      <c r="A16" s="81" t="s">
        <v>493</v>
      </c>
      <c r="B16" s="84">
        <f t="shared" ref="B16:C16" si="36">B15/B5</f>
        <v>0</v>
      </c>
      <c r="C16" s="84">
        <f t="shared" si="36"/>
        <v>0.05</v>
      </c>
      <c r="D16" s="85">
        <f>D15/D5</f>
        <v>0.1</v>
      </c>
      <c r="E16" s="85">
        <f t="shared" ref="E16:H16" si="37">E15/E5</f>
        <v>0.15</v>
      </c>
      <c r="F16" s="85">
        <f t="shared" si="37"/>
        <v>0.2</v>
      </c>
      <c r="G16" s="85">
        <f t="shared" si="37"/>
        <v>0.25</v>
      </c>
      <c r="H16" s="85">
        <f t="shared" si="37"/>
        <v>0.3</v>
      </c>
      <c r="J16" s="81" t="s">
        <v>494</v>
      </c>
      <c r="K16" s="84">
        <f t="shared" ref="K16:L16" si="38">K15/K5</f>
        <v>-0.2</v>
      </c>
      <c r="L16" s="84">
        <f t="shared" si="38"/>
        <v>-0.1</v>
      </c>
      <c r="M16" s="85">
        <f>M15/M5</f>
        <v>0</v>
      </c>
      <c r="N16" s="85">
        <f t="shared" ref="N16:Q16" si="39">N15/N5</f>
        <v>0.1</v>
      </c>
      <c r="O16" s="85">
        <f t="shared" si="39"/>
        <v>0.2</v>
      </c>
      <c r="P16" s="85">
        <f t="shared" si="39"/>
        <v>0.3</v>
      </c>
      <c r="Q16" s="85">
        <f t="shared" si="39"/>
        <v>0.4</v>
      </c>
      <c r="S16" s="81" t="s">
        <v>494</v>
      </c>
      <c r="T16" s="85">
        <f t="shared" ref="T16:U16" si="40">T15/T5</f>
        <v>-0.3</v>
      </c>
      <c r="U16" s="85">
        <f t="shared" si="40"/>
        <v>-0.17499999999999999</v>
      </c>
      <c r="V16" s="85">
        <f>V15/V5</f>
        <v>-0.05</v>
      </c>
      <c r="W16" s="85">
        <f t="shared" ref="W16:Z16" si="41">W15/W5</f>
        <v>7.4999999999999997E-2</v>
      </c>
      <c r="X16" s="85">
        <f t="shared" si="41"/>
        <v>0.2</v>
      </c>
      <c r="Y16" s="85">
        <f t="shared" si="41"/>
        <v>0.32500000000000001</v>
      </c>
      <c r="Z16" s="85">
        <f t="shared" si="41"/>
        <v>0.45</v>
      </c>
    </row>
    <row r="17" spans="1:26" ht="15.75" customHeight="1" thickBot="1">
      <c r="A17" s="77" t="s">
        <v>495</v>
      </c>
      <c r="B17" s="86">
        <f t="shared" ref="B17:C17" si="42">B15/B8</f>
        <v>0</v>
      </c>
      <c r="C17" s="86">
        <f t="shared" si="42"/>
        <v>0.1</v>
      </c>
      <c r="D17" s="87">
        <f>D15/D8</f>
        <v>0.2</v>
      </c>
      <c r="E17" s="87">
        <f t="shared" ref="E17:H17" si="43">E15/E8</f>
        <v>0.3</v>
      </c>
      <c r="F17" s="87">
        <f t="shared" si="43"/>
        <v>0.4</v>
      </c>
      <c r="G17" s="87">
        <f t="shared" si="43"/>
        <v>0.5</v>
      </c>
      <c r="H17" s="87">
        <f t="shared" si="43"/>
        <v>0.6</v>
      </c>
      <c r="J17" s="77" t="s">
        <v>495</v>
      </c>
      <c r="K17" s="86">
        <f t="shared" ref="K17:L17" si="44">K15/K8</f>
        <v>-0.4</v>
      </c>
      <c r="L17" s="86">
        <f t="shared" si="44"/>
        <v>-0.2</v>
      </c>
      <c r="M17" s="87">
        <f>M15/M8</f>
        <v>0</v>
      </c>
      <c r="N17" s="87">
        <f t="shared" ref="N17:Q17" si="45">N15/N8</f>
        <v>0.2</v>
      </c>
      <c r="O17" s="87">
        <f t="shared" si="45"/>
        <v>0.4</v>
      </c>
      <c r="P17" s="87">
        <f t="shared" si="45"/>
        <v>0.6</v>
      </c>
      <c r="Q17" s="87">
        <f t="shared" si="45"/>
        <v>0.8</v>
      </c>
      <c r="S17" s="77" t="s">
        <v>495</v>
      </c>
      <c r="T17" s="87">
        <f t="shared" ref="T17:U17" si="46">T15/T8</f>
        <v>-0.6</v>
      </c>
      <c r="U17" s="87">
        <f t="shared" si="46"/>
        <v>-0.35</v>
      </c>
      <c r="V17" s="87">
        <f>V15/V8</f>
        <v>-0.1</v>
      </c>
      <c r="W17" s="87">
        <f t="shared" ref="W17:Z17" si="47">W15/W8</f>
        <v>0.15</v>
      </c>
      <c r="X17" s="87">
        <f t="shared" si="47"/>
        <v>0.4</v>
      </c>
      <c r="Y17" s="87">
        <f t="shared" si="47"/>
        <v>0.65</v>
      </c>
      <c r="Z17" s="87">
        <f t="shared" si="47"/>
        <v>0.9</v>
      </c>
    </row>
    <row r="20" spans="1:26" ht="15.75" customHeight="1" thickBot="1"/>
    <row r="21" spans="1:26" ht="15.75" customHeight="1">
      <c r="A21" s="81" t="s">
        <v>496</v>
      </c>
      <c r="B21" s="88"/>
      <c r="C21" s="88"/>
      <c r="D21" s="89">
        <f>SUM(D22:D23)</f>
        <v>4000</v>
      </c>
      <c r="J21" s="81" t="s">
        <v>496</v>
      </c>
      <c r="K21" s="88"/>
      <c r="L21" s="88"/>
      <c r="M21" s="89">
        <f>SUM(M22:M23)</f>
        <v>2000</v>
      </c>
    </row>
    <row r="22" spans="1:26" ht="15.75" customHeight="1">
      <c r="A22" s="72" t="s">
        <v>331</v>
      </c>
      <c r="D22" s="90">
        <v>2000</v>
      </c>
      <c r="J22" s="72" t="s">
        <v>331</v>
      </c>
      <c r="M22" s="90">
        <v>2000</v>
      </c>
    </row>
    <row r="23" spans="1:26" ht="15.75" customHeight="1" thickBot="1">
      <c r="A23" s="77" t="s">
        <v>497</v>
      </c>
      <c r="B23" s="91"/>
      <c r="C23" s="91"/>
      <c r="D23" s="92">
        <v>2000</v>
      </c>
      <c r="J23" s="77" t="s">
        <v>497</v>
      </c>
      <c r="K23" s="91"/>
      <c r="L23" s="91"/>
      <c r="M23" s="92">
        <v>0</v>
      </c>
    </row>
    <row r="24" spans="1:26" ht="15.75" customHeight="1" thickBot="1"/>
    <row r="25" spans="1:26" ht="15.75" customHeight="1" thickBot="1">
      <c r="A25" s="592" t="s">
        <v>475</v>
      </c>
      <c r="B25" s="593"/>
      <c r="C25" s="593"/>
      <c r="D25" s="593"/>
      <c r="E25" s="593"/>
      <c r="F25" s="593"/>
      <c r="G25" s="593"/>
      <c r="H25" s="594"/>
      <c r="J25" s="592" t="s">
        <v>476</v>
      </c>
      <c r="K25" s="593"/>
      <c r="L25" s="593"/>
      <c r="M25" s="593"/>
      <c r="N25" s="593"/>
      <c r="O25" s="593"/>
      <c r="P25" s="593"/>
      <c r="Q25" s="594"/>
    </row>
    <row r="26" spans="1:26" ht="15.75" customHeight="1">
      <c r="A26" s="72" t="s">
        <v>479</v>
      </c>
      <c r="B26" s="70" t="s">
        <v>445</v>
      </c>
      <c r="C26" s="70" t="s">
        <v>445</v>
      </c>
      <c r="D26" s="70" t="s">
        <v>445</v>
      </c>
      <c r="E26" s="70" t="s">
        <v>446</v>
      </c>
      <c r="F26" s="70" t="s">
        <v>447</v>
      </c>
      <c r="G26" s="70" t="s">
        <v>448</v>
      </c>
      <c r="H26" s="90" t="s">
        <v>480</v>
      </c>
      <c r="J26" s="72" t="s">
        <v>479</v>
      </c>
      <c r="K26" s="70" t="s">
        <v>445</v>
      </c>
      <c r="L26" s="70" t="s">
        <v>445</v>
      </c>
      <c r="M26" s="70" t="s">
        <v>445</v>
      </c>
      <c r="N26" s="70" t="s">
        <v>446</v>
      </c>
      <c r="O26" s="70" t="s">
        <v>447</v>
      </c>
      <c r="P26" s="70" t="s">
        <v>448</v>
      </c>
      <c r="Q26" s="90" t="s">
        <v>480</v>
      </c>
    </row>
    <row r="27" spans="1:26" ht="15.75" customHeight="1">
      <c r="A27" s="72" t="s">
        <v>437</v>
      </c>
      <c r="D27" s="66">
        <f>$D$21/D9</f>
        <v>2000</v>
      </c>
      <c r="E27" s="66">
        <f t="shared" ref="E27:H27" si="48">$D$21/E9</f>
        <v>2000</v>
      </c>
      <c r="F27" s="66">
        <f t="shared" si="48"/>
        <v>2000</v>
      </c>
      <c r="G27" s="66">
        <f t="shared" si="48"/>
        <v>2000</v>
      </c>
      <c r="H27" s="93">
        <f t="shared" si="48"/>
        <v>2000</v>
      </c>
      <c r="J27" s="72" t="s">
        <v>437</v>
      </c>
      <c r="M27" s="66">
        <f>$M$21/M9</f>
        <v>1000</v>
      </c>
      <c r="N27" s="66">
        <f t="shared" ref="N27:Q27" si="49">$M$21/N9</f>
        <v>1000</v>
      </c>
      <c r="O27" s="66">
        <f t="shared" si="49"/>
        <v>1000</v>
      </c>
      <c r="P27" s="66">
        <f t="shared" si="49"/>
        <v>1000</v>
      </c>
      <c r="Q27" s="93">
        <f t="shared" si="49"/>
        <v>1000</v>
      </c>
    </row>
    <row r="28" spans="1:26" ht="15.75" customHeight="1">
      <c r="A28" s="72" t="str">
        <f>A17</f>
        <v>LPA (LL/# ações)</v>
      </c>
      <c r="D28" s="94">
        <f>D17</f>
        <v>0.2</v>
      </c>
      <c r="E28" s="94">
        <f>E17</f>
        <v>0.3</v>
      </c>
      <c r="F28" s="94">
        <f>F17</f>
        <v>0.4</v>
      </c>
      <c r="G28" s="94">
        <f>G17</f>
        <v>0.5</v>
      </c>
      <c r="H28" s="95">
        <f>H17</f>
        <v>0.6</v>
      </c>
      <c r="J28" s="72" t="str">
        <f>J17</f>
        <v>LPA (LL/# ações)</v>
      </c>
      <c r="M28" s="94">
        <f>M17</f>
        <v>0</v>
      </c>
      <c r="N28" s="94">
        <f>N17</f>
        <v>0.2</v>
      </c>
      <c r="O28" s="94">
        <f>O17</f>
        <v>0.4</v>
      </c>
      <c r="P28" s="94">
        <f>P17</f>
        <v>0.6</v>
      </c>
      <c r="Q28" s="95">
        <f>Q17</f>
        <v>0.8</v>
      </c>
    </row>
    <row r="29" spans="1:26" ht="15.75" customHeight="1">
      <c r="A29" s="72"/>
      <c r="H29" s="93"/>
      <c r="J29" s="72"/>
      <c r="Q29" s="93"/>
    </row>
    <row r="30" spans="1:26" ht="15.75" customHeight="1">
      <c r="A30" s="72" t="s">
        <v>498</v>
      </c>
      <c r="D30" s="94">
        <f>D27*D28</f>
        <v>400</v>
      </c>
      <c r="E30" s="94">
        <f t="shared" ref="E30:H30" si="50">E27*E28</f>
        <v>600</v>
      </c>
      <c r="F30" s="94">
        <f t="shared" si="50"/>
        <v>800</v>
      </c>
      <c r="G30" s="94">
        <f t="shared" si="50"/>
        <v>1000</v>
      </c>
      <c r="H30" s="95">
        <f t="shared" si="50"/>
        <v>1200</v>
      </c>
      <c r="J30" s="72" t="s">
        <v>498</v>
      </c>
      <c r="M30" s="94">
        <f>M27*M28</f>
        <v>0</v>
      </c>
      <c r="N30" s="94">
        <f t="shared" ref="N30:Q30" si="51">N27*N28</f>
        <v>200</v>
      </c>
      <c r="O30" s="94">
        <f t="shared" si="51"/>
        <v>400</v>
      </c>
      <c r="P30" s="94">
        <f t="shared" si="51"/>
        <v>600</v>
      </c>
      <c r="Q30" s="95">
        <f t="shared" si="51"/>
        <v>800</v>
      </c>
    </row>
    <row r="31" spans="1:26" ht="15.75" customHeight="1" thickBot="1">
      <c r="A31" s="72" t="s">
        <v>499</v>
      </c>
      <c r="D31" s="94">
        <f>-$D$23*D7</f>
        <v>-400</v>
      </c>
      <c r="E31" s="94">
        <f t="shared" ref="E31:H31" si="52">-$D$23*E7</f>
        <v>-400</v>
      </c>
      <c r="F31" s="94">
        <f t="shared" si="52"/>
        <v>-400</v>
      </c>
      <c r="G31" s="94">
        <f t="shared" si="52"/>
        <v>-400</v>
      </c>
      <c r="H31" s="95">
        <f t="shared" si="52"/>
        <v>-400</v>
      </c>
      <c r="J31" s="72" t="s">
        <v>499</v>
      </c>
      <c r="M31" s="94">
        <f>-$M$23*M7</f>
        <v>0</v>
      </c>
      <c r="N31" s="94">
        <f t="shared" ref="N31:Q31" si="53">-$M$23*N7</f>
        <v>0</v>
      </c>
      <c r="O31" s="94">
        <f t="shared" si="53"/>
        <v>0</v>
      </c>
      <c r="P31" s="94">
        <f t="shared" si="53"/>
        <v>0</v>
      </c>
      <c r="Q31" s="95">
        <f t="shared" si="53"/>
        <v>0</v>
      </c>
    </row>
    <row r="32" spans="1:26" ht="15.75" customHeight="1" thickBot="1">
      <c r="A32" s="68" t="s">
        <v>500</v>
      </c>
      <c r="B32" s="65"/>
      <c r="C32" s="65"/>
      <c r="D32" s="96">
        <f>SUM(D30:D31)</f>
        <v>0</v>
      </c>
      <c r="E32" s="96">
        <f t="shared" ref="E32:H32" si="54">SUM(E30:E31)</f>
        <v>200</v>
      </c>
      <c r="F32" s="96">
        <f t="shared" si="54"/>
        <v>400</v>
      </c>
      <c r="G32" s="96">
        <f t="shared" si="54"/>
        <v>600</v>
      </c>
      <c r="H32" s="97">
        <f t="shared" si="54"/>
        <v>800</v>
      </c>
      <c r="J32" s="68" t="s">
        <v>500</v>
      </c>
      <c r="K32" s="65"/>
      <c r="L32" s="65"/>
      <c r="M32" s="96">
        <f>SUM(M30:M31)</f>
        <v>0</v>
      </c>
      <c r="N32" s="96">
        <f t="shared" ref="N32:Q32" si="55">SUM(N30:N31)</f>
        <v>200</v>
      </c>
      <c r="O32" s="96">
        <f t="shared" si="55"/>
        <v>400</v>
      </c>
      <c r="P32" s="96">
        <f t="shared" si="55"/>
        <v>600</v>
      </c>
      <c r="Q32" s="97">
        <f t="shared" si="55"/>
        <v>800</v>
      </c>
    </row>
  </sheetData>
  <mergeCells count="5">
    <mergeCell ref="A1:H1"/>
    <mergeCell ref="J1:Q1"/>
    <mergeCell ref="S1:Z1"/>
    <mergeCell ref="A25:H25"/>
    <mergeCell ref="J25:Q2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A40B0-E4A9-4D4F-B7A1-41C7210D9A0C}">
  <sheetPr codeName="Sheet39"/>
  <dimension ref="A1:O30"/>
  <sheetViews>
    <sheetView showGridLines="0" topLeftCell="C4" zoomScale="150" zoomScaleNormal="150" zoomScalePageLayoutView="150" workbookViewId="0">
      <selection activeCell="H19" sqref="H18:H19"/>
    </sheetView>
  </sheetViews>
  <sheetFormatPr defaultColWidth="7.75" defaultRowHeight="13.5"/>
  <cols>
    <col min="1" max="1" width="33.125" style="113" hidden="1" customWidth="1"/>
    <col min="2" max="2" width="7.875" style="110" hidden="1" customWidth="1"/>
    <col min="3" max="3" width="9.625" style="110" customWidth="1"/>
    <col min="4" max="4" width="9.625" style="110" hidden="1" customWidth="1"/>
    <col min="5" max="14" width="9.625" style="110" customWidth="1"/>
    <col min="15" max="16384" width="7.75" style="110"/>
  </cols>
  <sheetData>
    <row r="1" spans="1:15">
      <c r="A1" s="109" t="s">
        <v>20</v>
      </c>
      <c r="F1" s="111" t="s">
        <v>21</v>
      </c>
      <c r="H1" s="112">
        <v>0.6</v>
      </c>
    </row>
    <row r="2" spans="1:15">
      <c r="A2" s="113" t="s">
        <v>22</v>
      </c>
      <c r="F2" s="110" t="s">
        <v>56</v>
      </c>
    </row>
    <row r="4" spans="1:15">
      <c r="D4" s="110" t="s">
        <v>57</v>
      </c>
      <c r="E4" s="595" t="s">
        <v>58</v>
      </c>
      <c r="F4" s="595"/>
      <c r="G4" s="595"/>
      <c r="H4" s="595"/>
      <c r="I4" s="595"/>
      <c r="J4" s="595"/>
      <c r="K4" s="595"/>
      <c r="L4" s="595"/>
      <c r="M4" s="595"/>
      <c r="N4" s="595"/>
    </row>
    <row r="5" spans="1:15">
      <c r="A5" s="109" t="s">
        <v>504</v>
      </c>
      <c r="B5" s="114" t="e">
        <f>+#REF!</f>
        <v>#REF!</v>
      </c>
      <c r="C5" s="56" t="s">
        <v>22</v>
      </c>
      <c r="O5" s="116"/>
    </row>
    <row r="6" spans="1:15">
      <c r="A6" s="109" t="s">
        <v>65</v>
      </c>
      <c r="B6" s="114" t="e">
        <f>+#REF!</f>
        <v>#REF!</v>
      </c>
      <c r="C6" s="119" t="s">
        <v>505</v>
      </c>
      <c r="D6" s="119" t="s">
        <v>506</v>
      </c>
      <c r="E6" s="119" t="s">
        <v>478</v>
      </c>
      <c r="F6" s="119" t="s">
        <v>59</v>
      </c>
      <c r="G6" s="119" t="s">
        <v>485</v>
      </c>
      <c r="H6" s="119" t="s">
        <v>32</v>
      </c>
      <c r="I6" s="119" t="s">
        <v>502</v>
      </c>
      <c r="J6" s="119" t="s">
        <v>503</v>
      </c>
      <c r="K6" s="119" t="s">
        <v>7</v>
      </c>
      <c r="L6" s="119" t="s">
        <v>62</v>
      </c>
      <c r="M6" s="119" t="s">
        <v>63</v>
      </c>
      <c r="N6" s="119" t="s">
        <v>64</v>
      </c>
      <c r="O6" s="116"/>
    </row>
    <row r="7" spans="1:15">
      <c r="A7" s="109"/>
      <c r="B7" s="114"/>
      <c r="C7" s="120">
        <f>100%-D7</f>
        <v>0</v>
      </c>
      <c r="D7" s="121">
        <v>1</v>
      </c>
      <c r="E7" s="122">
        <f t="dataTable" ref="E7:N23" dt2D="0" dtr="0" r1="H1"/>
        <v>550</v>
      </c>
      <c r="F7" s="122">
        <v>363</v>
      </c>
      <c r="G7" s="122">
        <v>2500</v>
      </c>
      <c r="H7" s="123">
        <v>0</v>
      </c>
      <c r="I7" s="124">
        <v>6.93E-2</v>
      </c>
      <c r="J7" s="124">
        <v>0.12415</v>
      </c>
      <c r="K7" s="124">
        <v>0.12415</v>
      </c>
      <c r="L7" s="122">
        <v>2693.3386210456847</v>
      </c>
      <c r="M7" s="122">
        <v>2693.3386210456847</v>
      </c>
      <c r="N7" s="125">
        <v>1.0773354484182738</v>
      </c>
      <c r="O7" s="116"/>
    </row>
    <row r="8" spans="1:15">
      <c r="A8" s="109" t="s">
        <v>66</v>
      </c>
      <c r="B8" s="114" t="e">
        <f>+#REF!</f>
        <v>#REF!</v>
      </c>
      <c r="C8" s="120">
        <f t="shared" ref="C8:C23" si="0">100%-D8</f>
        <v>5.0000000000000044E-2</v>
      </c>
      <c r="D8" s="121">
        <f>D7-5%</f>
        <v>0.95</v>
      </c>
      <c r="E8" s="122">
        <v>550</v>
      </c>
      <c r="F8" s="122">
        <v>354.33749999999998</v>
      </c>
      <c r="G8" s="122">
        <v>2375</v>
      </c>
      <c r="H8" s="122">
        <v>125</v>
      </c>
      <c r="I8" s="124">
        <v>6.93E-2</v>
      </c>
      <c r="J8" s="124">
        <v>0.12610394736842104</v>
      </c>
      <c r="K8" s="124">
        <v>0.12326374999999999</v>
      </c>
      <c r="L8" s="122">
        <v>2718.2485024184898</v>
      </c>
      <c r="M8" s="122">
        <v>2593.2485024184898</v>
      </c>
      <c r="N8" s="125">
        <v>1.0918941062814693</v>
      </c>
      <c r="O8" s="116"/>
    </row>
    <row r="9" spans="1:15">
      <c r="A9" s="109" t="s">
        <v>67</v>
      </c>
      <c r="B9" s="114" t="e">
        <f>+#REF!</f>
        <v>#REF!</v>
      </c>
      <c r="C9" s="120">
        <f t="shared" si="0"/>
        <v>0.10000000000000009</v>
      </c>
      <c r="D9" s="121">
        <f t="shared" ref="D9:D23" si="1">D8-5%</f>
        <v>0.89999999999999991</v>
      </c>
      <c r="E9" s="122">
        <v>550</v>
      </c>
      <c r="F9" s="122">
        <v>345.67499999999995</v>
      </c>
      <c r="G9" s="122">
        <v>2250</v>
      </c>
      <c r="H9" s="122">
        <v>250</v>
      </c>
      <c r="I9" s="124">
        <v>6.93E-2</v>
      </c>
      <c r="J9" s="124">
        <v>0.128275</v>
      </c>
      <c r="K9" s="124">
        <v>0.1223775</v>
      </c>
      <c r="L9" s="122">
        <v>2743.4626467866487</v>
      </c>
      <c r="M9" s="122">
        <v>2493.4626467866487</v>
      </c>
      <c r="N9" s="125">
        <v>1.108205620794066</v>
      </c>
      <c r="O9" s="116"/>
    </row>
    <row r="10" spans="1:15">
      <c r="A10" s="109"/>
      <c r="B10" s="115"/>
      <c r="C10" s="120">
        <f t="shared" si="0"/>
        <v>0.15000000000000013</v>
      </c>
      <c r="D10" s="121">
        <f t="shared" si="1"/>
        <v>0.84999999999999987</v>
      </c>
      <c r="E10" s="122">
        <v>550</v>
      </c>
      <c r="F10" s="122">
        <v>337.01249999999993</v>
      </c>
      <c r="G10" s="122">
        <v>2124.9999999999995</v>
      </c>
      <c r="H10" s="122">
        <v>375.00000000000045</v>
      </c>
      <c r="I10" s="124">
        <v>6.93E-2</v>
      </c>
      <c r="J10" s="124">
        <v>0.13070147058823528</v>
      </c>
      <c r="K10" s="124">
        <v>0.12149124999999998</v>
      </c>
      <c r="L10" s="122">
        <v>2768.9877170562008</v>
      </c>
      <c r="M10" s="122">
        <v>2393.9877170562004</v>
      </c>
      <c r="N10" s="125">
        <v>1.126582455085271</v>
      </c>
      <c r="O10" s="116"/>
    </row>
    <row r="11" spans="1:15">
      <c r="A11" s="109" t="s">
        <v>68</v>
      </c>
      <c r="B11" s="115">
        <f>+H1</f>
        <v>0.6</v>
      </c>
      <c r="C11" s="120">
        <f t="shared" si="0"/>
        <v>0.20000000000000018</v>
      </c>
      <c r="D11" s="121">
        <f t="shared" si="1"/>
        <v>0.79999999999999982</v>
      </c>
      <c r="E11" s="122">
        <v>550</v>
      </c>
      <c r="F11" s="122">
        <v>328.34999999999991</v>
      </c>
      <c r="G11" s="122">
        <v>1999.9999999999995</v>
      </c>
      <c r="H11" s="122">
        <v>500.00000000000045</v>
      </c>
      <c r="I11" s="124">
        <v>6.93E-2</v>
      </c>
      <c r="J11" s="124">
        <v>0.13343125</v>
      </c>
      <c r="K11" s="124">
        <v>0.12060499999999999</v>
      </c>
      <c r="L11" s="122">
        <v>2794.8305719929253</v>
      </c>
      <c r="M11" s="122">
        <v>2294.8305719929249</v>
      </c>
      <c r="N11" s="125">
        <v>1.1474152859964628</v>
      </c>
      <c r="O11" s="116"/>
    </row>
    <row r="12" spans="1:15">
      <c r="A12" s="109" t="s">
        <v>69</v>
      </c>
      <c r="B12" s="115">
        <f>1-B11</f>
        <v>0.4</v>
      </c>
      <c r="C12" s="120">
        <f t="shared" si="0"/>
        <v>0.25000000000000022</v>
      </c>
      <c r="D12" s="121">
        <f t="shared" si="1"/>
        <v>0.74999999999999978</v>
      </c>
      <c r="E12" s="122">
        <v>550</v>
      </c>
      <c r="F12" s="122">
        <v>319.68749999999994</v>
      </c>
      <c r="G12" s="122">
        <v>1874.9999999999995</v>
      </c>
      <c r="H12" s="122">
        <v>625.00000000000045</v>
      </c>
      <c r="I12" s="124">
        <v>6.93E-2</v>
      </c>
      <c r="J12" s="124">
        <v>0.13652500000000001</v>
      </c>
      <c r="K12" s="124">
        <v>0.11971874999999998</v>
      </c>
      <c r="L12" s="122">
        <v>2820.9982734719219</v>
      </c>
      <c r="M12" s="122">
        <v>2195.9982734719215</v>
      </c>
      <c r="N12" s="125">
        <v>1.1711990791850251</v>
      </c>
      <c r="O12" s="116"/>
    </row>
    <row r="13" spans="1:15">
      <c r="A13" s="109"/>
      <c r="B13" s="115"/>
      <c r="C13" s="120">
        <f t="shared" si="0"/>
        <v>0.30000000000000027</v>
      </c>
      <c r="D13" s="121">
        <f t="shared" si="1"/>
        <v>0.69999999999999973</v>
      </c>
      <c r="E13" s="122">
        <v>550</v>
      </c>
      <c r="F13" s="122">
        <v>311.02499999999992</v>
      </c>
      <c r="G13" s="122">
        <v>1749.9999999999993</v>
      </c>
      <c r="H13" s="122">
        <v>750.00000000000068</v>
      </c>
      <c r="I13" s="124">
        <v>6.93E-2</v>
      </c>
      <c r="J13" s="124">
        <v>0.14006071428571429</v>
      </c>
      <c r="K13" s="124">
        <v>0.11883249999999998</v>
      </c>
      <c r="L13" s="122">
        <v>2847.4980940515907</v>
      </c>
      <c r="M13" s="122">
        <v>2097.4980940515898</v>
      </c>
      <c r="N13" s="125">
        <v>1.1985703394580518</v>
      </c>
      <c r="O13" s="116"/>
    </row>
    <row r="14" spans="1:15">
      <c r="A14" s="109" t="s">
        <v>70</v>
      </c>
      <c r="B14" s="117" t="e">
        <f>#REF!</f>
        <v>#REF!</v>
      </c>
      <c r="C14" s="120">
        <f t="shared" si="0"/>
        <v>0.35000000000000031</v>
      </c>
      <c r="D14" s="121">
        <f t="shared" si="1"/>
        <v>0.64999999999999969</v>
      </c>
      <c r="E14" s="122">
        <v>550</v>
      </c>
      <c r="F14" s="122">
        <v>299.47499999999991</v>
      </c>
      <c r="G14" s="122">
        <v>1624.9999999999993</v>
      </c>
      <c r="H14" s="122">
        <v>875.00000000000068</v>
      </c>
      <c r="I14" s="124">
        <v>7.2599999999999998E-2</v>
      </c>
      <c r="J14" s="124">
        <v>0.14414038461538461</v>
      </c>
      <c r="K14" s="124">
        <v>0.11910124999999996</v>
      </c>
      <c r="L14" s="122">
        <v>2844.6760244800926</v>
      </c>
      <c r="M14" s="122">
        <v>1969.6760244800919</v>
      </c>
      <c r="N14" s="125">
        <v>1.2121083227569802</v>
      </c>
      <c r="O14" s="116"/>
    </row>
    <row r="15" spans="1:15">
      <c r="A15" s="109" t="s">
        <v>71</v>
      </c>
      <c r="B15" s="117" t="e">
        <f>+#REF!</f>
        <v>#REF!</v>
      </c>
      <c r="C15" s="120">
        <f t="shared" si="0"/>
        <v>0.40000000000000036</v>
      </c>
      <c r="D15" s="121">
        <f t="shared" si="1"/>
        <v>0.59999999999999964</v>
      </c>
      <c r="E15" s="122">
        <v>550</v>
      </c>
      <c r="F15" s="122">
        <v>290.39999999999992</v>
      </c>
      <c r="G15" s="122">
        <v>1499.9999999999991</v>
      </c>
      <c r="H15" s="122">
        <v>1000.0000000000009</v>
      </c>
      <c r="I15" s="124">
        <v>7.2599999999999998E-2</v>
      </c>
      <c r="J15" s="124">
        <v>0.1489</v>
      </c>
      <c r="K15" s="124">
        <v>0.11837999999999997</v>
      </c>
      <c r="L15" s="122">
        <v>2867.158093941478</v>
      </c>
      <c r="M15" s="122">
        <v>1867.1580939414771</v>
      </c>
      <c r="N15" s="125">
        <v>1.2447720626276522</v>
      </c>
      <c r="O15" s="116"/>
    </row>
    <row r="16" spans="1:15">
      <c r="A16" s="109" t="s">
        <v>7</v>
      </c>
      <c r="B16" s="117" t="e">
        <f>+#REF!</f>
        <v>#REF!</v>
      </c>
      <c r="C16" s="120">
        <f t="shared" si="0"/>
        <v>0.4500000000000004</v>
      </c>
      <c r="D16" s="121">
        <f t="shared" si="1"/>
        <v>0.5499999999999996</v>
      </c>
      <c r="E16" s="122">
        <v>550</v>
      </c>
      <c r="F16" s="122">
        <v>281.32499999999993</v>
      </c>
      <c r="G16" s="122">
        <v>1374.9999999999991</v>
      </c>
      <c r="H16" s="122">
        <v>1125.0000000000009</v>
      </c>
      <c r="I16" s="124">
        <v>7.2599999999999998E-2</v>
      </c>
      <c r="J16" s="124">
        <v>0.15452500000000002</v>
      </c>
      <c r="K16" s="124">
        <v>0.11765874999999998</v>
      </c>
      <c r="L16" s="122">
        <v>2883.2887286745458</v>
      </c>
      <c r="M16" s="122">
        <v>1758.2887286745449</v>
      </c>
      <c r="N16" s="125">
        <v>1.2787554390360336</v>
      </c>
      <c r="O16" s="116"/>
    </row>
    <row r="17" spans="1:15">
      <c r="A17" s="109"/>
      <c r="B17" s="115"/>
      <c r="C17" s="120">
        <f t="shared" si="0"/>
        <v>0.50000000000000044</v>
      </c>
      <c r="D17" s="121">
        <f t="shared" si="1"/>
        <v>0.49999999999999961</v>
      </c>
      <c r="E17" s="122">
        <v>550</v>
      </c>
      <c r="F17" s="122">
        <v>272.24999999999989</v>
      </c>
      <c r="G17" s="122">
        <v>1249.9999999999991</v>
      </c>
      <c r="H17" s="122">
        <v>1250.0000000000009</v>
      </c>
      <c r="I17" s="124">
        <v>7.2599999999999998E-2</v>
      </c>
      <c r="J17" s="124">
        <v>0.16127500000000003</v>
      </c>
      <c r="K17" s="124">
        <v>0.11693749999999997</v>
      </c>
      <c r="L17" s="122">
        <v>2899.651088286224</v>
      </c>
      <c r="M17" s="122">
        <v>1649.6510882862231</v>
      </c>
      <c r="N17" s="125">
        <v>1.3197208706289794</v>
      </c>
      <c r="O17" s="116"/>
    </row>
    <row r="18" spans="1:15">
      <c r="A18" s="109" t="s">
        <v>54</v>
      </c>
      <c r="B18" s="114" t="e">
        <f>+#REF!</f>
        <v>#REF!</v>
      </c>
      <c r="C18" s="120">
        <f t="shared" si="0"/>
        <v>0.55000000000000038</v>
      </c>
      <c r="D18" s="121">
        <f t="shared" si="1"/>
        <v>0.44999999999999962</v>
      </c>
      <c r="E18" s="122">
        <v>550</v>
      </c>
      <c r="F18" s="122">
        <v>254.09999999999991</v>
      </c>
      <c r="G18" s="122">
        <v>1124.9999999999991</v>
      </c>
      <c r="H18" s="122">
        <v>1375.0000000000009</v>
      </c>
      <c r="I18" s="124">
        <v>7.9199999999999993E-2</v>
      </c>
      <c r="J18" s="124">
        <v>0.16952500000000004</v>
      </c>
      <c r="K18" s="124">
        <v>0.11984624999999999</v>
      </c>
      <c r="L18" s="122">
        <v>2822.2235833267937</v>
      </c>
      <c r="M18" s="122">
        <v>1447.2235833267928</v>
      </c>
      <c r="N18" s="125">
        <v>1.2864209629571501</v>
      </c>
      <c r="O18" s="116"/>
    </row>
    <row r="19" spans="1:15">
      <c r="A19" s="109" t="s">
        <v>55</v>
      </c>
      <c r="B19" s="114" t="e">
        <f>+#REF!</f>
        <v>#REF!</v>
      </c>
      <c r="C19" s="120">
        <f t="shared" si="0"/>
        <v>0.60000000000000031</v>
      </c>
      <c r="D19" s="121">
        <f t="shared" si="1"/>
        <v>0.39999999999999963</v>
      </c>
      <c r="E19" s="122">
        <v>550</v>
      </c>
      <c r="F19" s="122">
        <v>234.2999999999999</v>
      </c>
      <c r="G19" s="122">
        <v>999.99999999999909</v>
      </c>
      <c r="H19" s="122">
        <v>1500.0000000000009</v>
      </c>
      <c r="I19" s="124">
        <v>8.5799999999999987E-2</v>
      </c>
      <c r="J19" s="124">
        <v>0.17983750000000004</v>
      </c>
      <c r="K19" s="124">
        <v>0.12341499999999997</v>
      </c>
      <c r="L19" s="122">
        <v>2732.6547833776744</v>
      </c>
      <c r="M19" s="122">
        <v>1232.6547833776735</v>
      </c>
      <c r="N19" s="125">
        <v>1.2326547833776746</v>
      </c>
      <c r="O19" s="116"/>
    </row>
    <row r="20" spans="1:15">
      <c r="A20" s="109" t="s">
        <v>72</v>
      </c>
      <c r="B20" s="117" t="e">
        <f>+B19/B8</f>
        <v>#REF!</v>
      </c>
      <c r="C20" s="120">
        <f t="shared" si="0"/>
        <v>0.65000000000000036</v>
      </c>
      <c r="D20" s="121">
        <f t="shared" si="1"/>
        <v>0.34999999999999964</v>
      </c>
      <c r="E20" s="122">
        <v>550</v>
      </c>
      <c r="F20" s="122">
        <v>202.12499999999989</v>
      </c>
      <c r="G20" s="122">
        <v>874.99999999999909</v>
      </c>
      <c r="H20" s="122">
        <v>1625.0000000000009</v>
      </c>
      <c r="I20" s="124">
        <v>9.9000000000000005E-2</v>
      </c>
      <c r="J20" s="124">
        <v>0.19309642857142867</v>
      </c>
      <c r="K20" s="124">
        <v>0.13193375000000002</v>
      </c>
      <c r="L20" s="122">
        <v>2541.528850199204</v>
      </c>
      <c r="M20" s="122">
        <v>916.52885019920313</v>
      </c>
      <c r="N20" s="125">
        <v>1.0474615430848047</v>
      </c>
      <c r="O20" s="116"/>
    </row>
    <row r="21" spans="1:15">
      <c r="B21" s="116"/>
      <c r="C21" s="120">
        <f t="shared" si="0"/>
        <v>0.7000000000000004</v>
      </c>
      <c r="D21" s="121">
        <f t="shared" si="1"/>
        <v>0.29999999999999966</v>
      </c>
      <c r="E21" s="122">
        <v>550</v>
      </c>
      <c r="F21" s="122">
        <v>155.09999999999985</v>
      </c>
      <c r="G21" s="122">
        <v>749.99999999999909</v>
      </c>
      <c r="H21" s="122">
        <v>1750.0000000000009</v>
      </c>
      <c r="I21" s="124">
        <v>0.1188</v>
      </c>
      <c r="J21" s="124">
        <v>0.21077500000000016</v>
      </c>
      <c r="K21" s="124">
        <v>0.14639250000000004</v>
      </c>
      <c r="L21" s="122">
        <v>2269.4606235899059</v>
      </c>
      <c r="M21" s="122">
        <v>519.46062358990503</v>
      </c>
      <c r="N21" s="125">
        <v>0.69261416478654092</v>
      </c>
      <c r="O21" s="116"/>
    </row>
    <row r="22" spans="1:15">
      <c r="B22" s="116"/>
      <c r="C22" s="120">
        <f t="shared" si="0"/>
        <v>0.75000000000000033</v>
      </c>
      <c r="D22" s="121">
        <f t="shared" si="1"/>
        <v>0.24999999999999967</v>
      </c>
      <c r="E22" s="122">
        <v>550</v>
      </c>
      <c r="F22" s="122">
        <v>103.12499999999984</v>
      </c>
      <c r="G22" s="122">
        <v>624.9999999999992</v>
      </c>
      <c r="H22" s="122">
        <v>1875.0000000000009</v>
      </c>
      <c r="I22" s="124">
        <v>0.1386</v>
      </c>
      <c r="J22" s="124">
        <v>0.23552500000000018</v>
      </c>
      <c r="K22" s="124">
        <v>0.16283125000000001</v>
      </c>
      <c r="L22" s="122">
        <v>2019.0425000215828</v>
      </c>
      <c r="M22" s="122">
        <v>144.04250002158187</v>
      </c>
      <c r="N22" s="125">
        <v>0.2304680000345313</v>
      </c>
      <c r="O22" s="116"/>
    </row>
    <row r="23" spans="1:15">
      <c r="B23" s="116"/>
      <c r="C23" s="120">
        <f t="shared" si="0"/>
        <v>0.80000000000000027</v>
      </c>
      <c r="D23" s="121">
        <f t="shared" si="1"/>
        <v>0.19999999999999968</v>
      </c>
      <c r="E23" s="122">
        <v>550</v>
      </c>
      <c r="F23" s="122">
        <v>46.199999999999847</v>
      </c>
      <c r="G23" s="122">
        <v>499.9999999999992</v>
      </c>
      <c r="H23" s="122">
        <v>2000.0000000000009</v>
      </c>
      <c r="I23" s="124">
        <v>0.15839999999999999</v>
      </c>
      <c r="J23" s="124">
        <v>0.27265000000000028</v>
      </c>
      <c r="K23" s="124">
        <v>0.18125000000000002</v>
      </c>
      <c r="L23" s="122">
        <v>1792.6301248468747</v>
      </c>
      <c r="M23" s="122">
        <v>-207.36987515312626</v>
      </c>
      <c r="N23" s="125">
        <v>-0.41473975030625315</v>
      </c>
      <c r="O23" s="116"/>
    </row>
    <row r="24" spans="1:15">
      <c r="B24" s="116"/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</row>
    <row r="25" spans="1:15">
      <c r="D25" s="118"/>
    </row>
    <row r="26" spans="1:15">
      <c r="D26" s="118"/>
    </row>
    <row r="27" spans="1:15">
      <c r="D27" s="118"/>
    </row>
    <row r="28" spans="1:15">
      <c r="D28" s="118"/>
    </row>
    <row r="30" spans="1:15">
      <c r="A30" s="109"/>
    </row>
  </sheetData>
  <mergeCells count="1">
    <mergeCell ref="E4:N4"/>
  </mergeCells>
  <pageMargins left="0.78740157499999996" right="0.78740157499999996" top="0.984251969" bottom="0.984251969" header="0.49212598499999999" footer="0.49212598499999999"/>
  <pageSetup paperSize="9" orientation="portrait" horizontalDpi="4294967292" verticalDpi="4294967292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7E865-AC33-403F-9027-6CFE6D917D07}">
  <sheetPr>
    <pageSetUpPr fitToPage="1"/>
  </sheetPr>
  <dimension ref="A1:E38"/>
  <sheetViews>
    <sheetView showGridLines="0" topLeftCell="A22" zoomScale="150" zoomScaleNormal="150" zoomScalePageLayoutView="75" workbookViewId="0">
      <selection activeCell="D13" sqref="D13"/>
    </sheetView>
  </sheetViews>
  <sheetFormatPr defaultColWidth="8.125" defaultRowHeight="13.5"/>
  <cols>
    <col min="1" max="1" width="3.25" style="140" customWidth="1"/>
    <col min="2" max="2" width="30.625" style="126" bestFit="1" customWidth="1"/>
    <col min="3" max="3" width="9.125" style="178" customWidth="1"/>
    <col min="4" max="4" width="54.375" style="179" bestFit="1" customWidth="1"/>
    <col min="5" max="5" width="8.125" style="126"/>
    <col min="6" max="6" width="23.375" style="126" customWidth="1"/>
    <col min="7" max="7" width="8.125" style="126"/>
    <col min="8" max="8" width="9.625" style="126" customWidth="1"/>
    <col min="9" max="9" width="9.125" style="126" customWidth="1"/>
    <col min="10" max="10" width="9.625" style="126" customWidth="1"/>
    <col min="11" max="11" width="10.625" style="126" customWidth="1"/>
    <col min="12" max="16384" width="8.125" style="126"/>
  </cols>
  <sheetData>
    <row r="1" spans="1:5">
      <c r="A1" s="596" t="s">
        <v>507</v>
      </c>
      <c r="B1" s="596"/>
      <c r="C1" s="596"/>
      <c r="D1" s="596"/>
    </row>
    <row r="2" spans="1:5">
      <c r="A2" s="597"/>
      <c r="B2" s="597"/>
      <c r="C2" s="597"/>
      <c r="D2" s="597"/>
      <c r="E2" s="127"/>
    </row>
    <row r="3" spans="1:5" s="129" customFormat="1">
      <c r="A3" s="598" t="s">
        <v>34</v>
      </c>
      <c r="B3" s="598"/>
      <c r="C3" s="598" t="s">
        <v>414</v>
      </c>
      <c r="D3" s="599" t="s">
        <v>3</v>
      </c>
      <c r="E3" s="128"/>
    </row>
    <row r="4" spans="1:5" s="129" customFormat="1">
      <c r="A4" s="598"/>
      <c r="B4" s="598"/>
      <c r="C4" s="598"/>
      <c r="D4" s="599"/>
      <c r="E4" s="128"/>
    </row>
    <row r="5" spans="1:5">
      <c r="A5" s="130"/>
      <c r="B5" s="131"/>
      <c r="C5" s="132"/>
      <c r="D5" s="133"/>
      <c r="E5" s="128"/>
    </row>
    <row r="6" spans="1:5">
      <c r="A6" s="134" t="s">
        <v>35</v>
      </c>
      <c r="B6" s="131"/>
      <c r="C6" s="135"/>
      <c r="D6" s="133"/>
      <c r="E6" s="136"/>
    </row>
    <row r="7" spans="1:5">
      <c r="A7" s="134"/>
      <c r="B7" s="126" t="s">
        <v>257</v>
      </c>
      <c r="C7" s="137">
        <v>0.08</v>
      </c>
      <c r="D7" s="138" t="s">
        <v>508</v>
      </c>
      <c r="E7" s="136"/>
    </row>
    <row r="8" spans="1:5">
      <c r="A8" s="134"/>
      <c r="B8" s="126" t="s">
        <v>509</v>
      </c>
      <c r="C8" s="139">
        <v>1.2</v>
      </c>
      <c r="D8" s="138" t="s">
        <v>510</v>
      </c>
      <c r="E8" s="136"/>
    </row>
    <row r="9" spans="1:5">
      <c r="B9" s="141" t="s">
        <v>36</v>
      </c>
      <c r="C9" s="142">
        <f>C8*C7</f>
        <v>9.6000000000000002E-2</v>
      </c>
      <c r="D9" s="138" t="s">
        <v>511</v>
      </c>
      <c r="E9" s="143"/>
    </row>
    <row r="10" spans="1:5">
      <c r="B10" s="126" t="s">
        <v>512</v>
      </c>
      <c r="C10" s="139">
        <v>0.34</v>
      </c>
      <c r="D10" s="138" t="s">
        <v>513</v>
      </c>
      <c r="E10" s="143"/>
    </row>
    <row r="11" spans="1:5" s="147" customFormat="1">
      <c r="A11" s="134"/>
      <c r="B11" s="144" t="s">
        <v>514</v>
      </c>
      <c r="C11" s="145">
        <f>+C9*(1-C10)</f>
        <v>6.336E-2</v>
      </c>
      <c r="D11" s="138"/>
      <c r="E11" s="146"/>
    </row>
    <row r="12" spans="1:5" s="141" customFormat="1">
      <c r="A12" s="134"/>
      <c r="B12" s="144" t="s">
        <v>38</v>
      </c>
      <c r="C12" s="139">
        <v>0.3</v>
      </c>
      <c r="D12" s="138" t="s">
        <v>515</v>
      </c>
      <c r="E12" s="148"/>
    </row>
    <row r="13" spans="1:5">
      <c r="C13" s="149"/>
      <c r="D13" s="138"/>
      <c r="E13" s="150"/>
    </row>
    <row r="14" spans="1:5" s="131" customFormat="1">
      <c r="A14" s="134" t="s">
        <v>516</v>
      </c>
      <c r="B14" s="151"/>
      <c r="C14" s="152"/>
      <c r="D14" s="138"/>
      <c r="E14" s="153"/>
    </row>
    <row r="15" spans="1:5" s="131" customFormat="1">
      <c r="A15" s="140"/>
      <c r="B15" s="126" t="s">
        <v>39</v>
      </c>
      <c r="C15" s="154">
        <v>0.92</v>
      </c>
      <c r="D15" s="138" t="s">
        <v>517</v>
      </c>
      <c r="E15" s="155"/>
    </row>
    <row r="16" spans="1:5" s="131" customFormat="1">
      <c r="A16" s="140"/>
      <c r="B16" s="126" t="s">
        <v>40</v>
      </c>
      <c r="C16" s="156">
        <f>+C15*(1+(+C12/C26)*(1-C10))</f>
        <v>1.1802285714285716</v>
      </c>
      <c r="D16" s="157" t="s">
        <v>518</v>
      </c>
      <c r="E16" s="155"/>
    </row>
    <row r="17" spans="1:5" s="131" customFormat="1">
      <c r="A17" s="140"/>
      <c r="B17" s="126" t="s">
        <v>41</v>
      </c>
      <c r="C17" s="137">
        <v>0.03</v>
      </c>
      <c r="D17" s="158" t="s">
        <v>519</v>
      </c>
      <c r="E17" s="159"/>
    </row>
    <row r="18" spans="1:5" s="131" customFormat="1">
      <c r="A18" s="140"/>
      <c r="B18" s="126" t="s">
        <v>42</v>
      </c>
      <c r="C18" s="137">
        <v>6.5000000000000002E-2</v>
      </c>
      <c r="D18" s="138" t="s">
        <v>520</v>
      </c>
      <c r="E18" s="159"/>
    </row>
    <row r="19" spans="1:5" s="141" customFormat="1">
      <c r="A19" s="134"/>
      <c r="B19" s="144" t="s">
        <v>43</v>
      </c>
      <c r="C19" s="160">
        <f>C17+(C16*C18)</f>
        <v>0.10671485714285715</v>
      </c>
      <c r="D19" s="158" t="s">
        <v>521</v>
      </c>
      <c r="E19" s="161"/>
    </row>
    <row r="20" spans="1:5" s="151" customFormat="1">
      <c r="A20" s="134"/>
      <c r="C20" s="160"/>
      <c r="D20" s="158"/>
      <c r="E20" s="162"/>
    </row>
    <row r="21" spans="1:5" s="131" customFormat="1">
      <c r="A21" s="140"/>
      <c r="B21" s="126" t="s">
        <v>44</v>
      </c>
      <c r="C21" s="137">
        <v>1.67E-2</v>
      </c>
      <c r="D21" s="158" t="s">
        <v>522</v>
      </c>
      <c r="E21" s="159"/>
    </row>
    <row r="22" spans="1:5" s="131" customFormat="1">
      <c r="A22" s="140"/>
      <c r="B22" s="126" t="s">
        <v>523</v>
      </c>
      <c r="C22" s="137">
        <v>0.02</v>
      </c>
      <c r="D22" s="158" t="s">
        <v>524</v>
      </c>
      <c r="E22" s="159"/>
    </row>
    <row r="23" spans="1:5" s="131" customFormat="1">
      <c r="A23" s="140"/>
      <c r="B23" s="126" t="s">
        <v>525</v>
      </c>
      <c r="C23" s="137">
        <v>0.02</v>
      </c>
      <c r="D23" s="158" t="s">
        <v>526</v>
      </c>
      <c r="E23" s="159"/>
    </row>
    <row r="24" spans="1:5" s="131" customFormat="1">
      <c r="A24" s="140"/>
      <c r="B24" s="126" t="s">
        <v>527</v>
      </c>
      <c r="C24" s="137">
        <v>0.04</v>
      </c>
      <c r="D24" s="158" t="s">
        <v>528</v>
      </c>
      <c r="E24" s="159"/>
    </row>
    <row r="25" spans="1:5" s="147" customFormat="1">
      <c r="A25" s="134"/>
      <c r="B25" s="144" t="s">
        <v>45</v>
      </c>
      <c r="C25" s="145">
        <f>(1+(C19+C21+C22))*(1+C24)/(1+C23)-1</f>
        <v>0.16583475630252109</v>
      </c>
      <c r="D25" s="138"/>
      <c r="E25" s="146"/>
    </row>
    <row r="26" spans="1:5" s="141" customFormat="1">
      <c r="A26" s="134"/>
      <c r="B26" s="144" t="s">
        <v>38</v>
      </c>
      <c r="C26" s="163">
        <f>1-C12</f>
        <v>0.7</v>
      </c>
      <c r="D26" s="138" t="s">
        <v>529</v>
      </c>
      <c r="E26" s="161"/>
    </row>
    <row r="27" spans="1:5" s="141" customFormat="1">
      <c r="A27" s="134"/>
      <c r="B27" s="151"/>
      <c r="C27" s="164"/>
      <c r="D27" s="138"/>
      <c r="E27" s="161"/>
    </row>
    <row r="28" spans="1:5" s="141" customFormat="1">
      <c r="A28" s="134" t="s">
        <v>46</v>
      </c>
      <c r="B28" s="131"/>
      <c r="C28" s="165"/>
      <c r="D28" s="138"/>
      <c r="E28" s="161"/>
    </row>
    <row r="29" spans="1:5" s="147" customFormat="1">
      <c r="A29" s="134"/>
      <c r="B29" s="144" t="s">
        <v>530</v>
      </c>
      <c r="C29" s="145">
        <f>+C11*C12+C25*C26</f>
        <v>0.13509232941176477</v>
      </c>
      <c r="D29" s="158" t="s">
        <v>235</v>
      </c>
      <c r="E29" s="166"/>
    </row>
    <row r="30" spans="1:5" s="147" customFormat="1">
      <c r="A30" s="140"/>
      <c r="B30" s="126"/>
      <c r="C30" s="167"/>
      <c r="D30" s="158"/>
      <c r="E30" s="166"/>
    </row>
    <row r="31" spans="1:5" s="169" customFormat="1">
      <c r="A31" s="140"/>
      <c r="B31" s="144" t="s">
        <v>531</v>
      </c>
      <c r="C31" s="145">
        <f>(1+C29)/(1+C24)-1</f>
        <v>9.1434932126696733E-2</v>
      </c>
      <c r="D31" s="158" t="s">
        <v>532</v>
      </c>
      <c r="E31" s="168"/>
    </row>
    <row r="32" spans="1:5" s="170" customFormat="1">
      <c r="A32" s="140"/>
      <c r="C32" s="171"/>
      <c r="D32" s="138"/>
      <c r="E32" s="172"/>
    </row>
    <row r="33" spans="1:5" s="170" customFormat="1">
      <c r="A33" s="134" t="s">
        <v>533</v>
      </c>
      <c r="C33" s="171"/>
      <c r="D33" s="138"/>
      <c r="E33" s="172"/>
    </row>
    <row r="34" spans="1:5" s="170" customFormat="1">
      <c r="A34" s="140"/>
      <c r="B34" s="144" t="s">
        <v>534</v>
      </c>
      <c r="C34" s="145">
        <f>C7+(C16*C18)+C22</f>
        <v>0.17671485714285715</v>
      </c>
      <c r="D34" s="158" t="s">
        <v>535</v>
      </c>
    </row>
    <row r="35" spans="1:5" s="170" customFormat="1">
      <c r="A35" s="140"/>
      <c r="B35" s="144"/>
      <c r="C35" s="173"/>
      <c r="D35" s="158"/>
    </row>
    <row r="36" spans="1:5" s="175" customFormat="1">
      <c r="A36" s="134"/>
      <c r="B36" s="144" t="s">
        <v>536</v>
      </c>
      <c r="C36" s="145">
        <f>C12*C11+C34*C26</f>
        <v>0.14270839999999999</v>
      </c>
      <c r="D36" s="138" t="s">
        <v>537</v>
      </c>
      <c r="E36" s="174"/>
    </row>
    <row r="37" spans="1:5" s="131" customFormat="1">
      <c r="A37" s="140"/>
      <c r="B37" s="126" t="s">
        <v>538</v>
      </c>
      <c r="C37" s="176">
        <f>C29-C36</f>
        <v>-7.6160705882352131E-3</v>
      </c>
      <c r="D37" s="177"/>
      <c r="E37" s="159"/>
    </row>
    <row r="38" spans="1:5">
      <c r="D38" s="138"/>
    </row>
  </sheetData>
  <mergeCells count="5">
    <mergeCell ref="A1:D1"/>
    <mergeCell ref="A2:D2"/>
    <mergeCell ref="A3:B4"/>
    <mergeCell ref="C3:C4"/>
    <mergeCell ref="D3:D4"/>
  </mergeCells>
  <printOptions horizontalCentered="1"/>
  <pageMargins left="0.75000000000000011" right="0.75000000000000011" top="1" bottom="1" header="0.5" footer="0.5"/>
  <pageSetup paperSize="9" scale="64" orientation="portrait" horizontalDpi="4294967292" verticalDpi="4294967292"/>
  <headerFooter>
    <oddFooter>&amp;R&amp;8&amp;K000000&amp;D - &amp;T_x000D_&amp;F_x000D_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51567-87AC-4D77-915B-F851D4C73AA2}">
  <dimension ref="B1:U117"/>
  <sheetViews>
    <sheetView showGridLines="0" topLeftCell="A82" zoomScale="140" zoomScaleNormal="140" workbookViewId="0">
      <selection activeCell="G95" sqref="G95"/>
    </sheetView>
  </sheetViews>
  <sheetFormatPr defaultColWidth="7.75" defaultRowHeight="13.5"/>
  <cols>
    <col min="1" max="1" width="2.5" style="180" customWidth="1"/>
    <col min="2" max="2" width="28.5" style="180" bestFit="1" customWidth="1"/>
    <col min="3" max="12" width="7.625" style="184" customWidth="1"/>
    <col min="13" max="13" width="7.75" style="180"/>
    <col min="14" max="14" width="4.875" style="180" bestFit="1" customWidth="1"/>
    <col min="15" max="15" width="6.75" style="184" bestFit="1" customWidth="1"/>
    <col min="16" max="16" width="5.875" style="184" bestFit="1" customWidth="1"/>
    <col min="17" max="17" width="10.75" style="184" bestFit="1" customWidth="1"/>
    <col min="18" max="18" width="4.375" style="184" customWidth="1"/>
    <col min="19" max="19" width="5.375" style="184" bestFit="1" customWidth="1"/>
    <col min="20" max="20" width="13.125" style="184" bestFit="1" customWidth="1"/>
    <col min="21" max="21" width="12.125" style="184" bestFit="1" customWidth="1"/>
    <col min="22" max="16384" width="7.75" style="180"/>
  </cols>
  <sheetData>
    <row r="1" spans="2:21">
      <c r="B1" s="182" t="s">
        <v>542</v>
      </c>
    </row>
    <row r="2" spans="2:21">
      <c r="B2" s="204" t="s">
        <v>256</v>
      </c>
      <c r="C2" s="194">
        <v>2020</v>
      </c>
      <c r="D2" s="198" t="s">
        <v>541</v>
      </c>
      <c r="E2" s="194">
        <f>C2+1</f>
        <v>2021</v>
      </c>
      <c r="F2" s="198" t="s">
        <v>541</v>
      </c>
      <c r="G2" s="194">
        <f>E2+1</f>
        <v>2022</v>
      </c>
      <c r="H2" s="198" t="s">
        <v>541</v>
      </c>
      <c r="I2" s="194">
        <f>G2+1</f>
        <v>2023</v>
      </c>
      <c r="J2" s="198" t="s">
        <v>541</v>
      </c>
      <c r="K2" s="194">
        <f>I2+1</f>
        <v>2024</v>
      </c>
      <c r="L2" s="198" t="s">
        <v>541</v>
      </c>
    </row>
    <row r="3" spans="2:21">
      <c r="B3" s="204" t="s">
        <v>75</v>
      </c>
      <c r="C3" s="195">
        <v>99000</v>
      </c>
      <c r="D3" s="199" t="s">
        <v>19</v>
      </c>
      <c r="E3" s="195">
        <v>110000</v>
      </c>
      <c r="F3" s="199">
        <f t="shared" ref="F3:F15" si="0">E3/C3-1</f>
        <v>0.11111111111111116</v>
      </c>
      <c r="G3" s="195">
        <v>90000</v>
      </c>
      <c r="H3" s="199">
        <f>G3/E3-1</f>
        <v>-0.18181818181818177</v>
      </c>
      <c r="I3" s="195">
        <v>115000</v>
      </c>
      <c r="J3" s="199">
        <f>I3/G3-1</f>
        <v>0.27777777777777768</v>
      </c>
      <c r="K3" s="195">
        <v>143000</v>
      </c>
      <c r="L3" s="199">
        <f>K3/I3-1</f>
        <v>0.24347826086956514</v>
      </c>
      <c r="O3" s="184" t="s">
        <v>333</v>
      </c>
      <c r="P3" s="184" t="s">
        <v>133</v>
      </c>
      <c r="Q3" s="184" t="s">
        <v>543</v>
      </c>
    </row>
    <row r="4" spans="2:21">
      <c r="B4" s="215" t="s">
        <v>76</v>
      </c>
      <c r="C4" s="196">
        <f>-60%*C3</f>
        <v>-59400</v>
      </c>
      <c r="D4" s="199" t="s">
        <v>19</v>
      </c>
      <c r="E4" s="196">
        <f>-65.4%*E3</f>
        <v>-71940</v>
      </c>
      <c r="F4" s="199">
        <f t="shared" si="0"/>
        <v>0.21111111111111103</v>
      </c>
      <c r="G4" s="196">
        <f>-74.5%*G3</f>
        <v>-67050</v>
      </c>
      <c r="H4" s="199">
        <f t="shared" ref="H4:L21" si="1">G4/E4-1</f>
        <v>-6.7973311092577093E-2</v>
      </c>
      <c r="I4" s="196">
        <f>-68.4996%*I3</f>
        <v>-78774.540000000008</v>
      </c>
      <c r="J4" s="199">
        <f t="shared" si="1"/>
        <v>0.17486263982102912</v>
      </c>
      <c r="K4" s="196">
        <f>-65%*K3</f>
        <v>-92950</v>
      </c>
      <c r="L4" s="199">
        <f t="shared" si="1"/>
        <v>0.17994976549529818</v>
      </c>
      <c r="N4" s="200">
        <f>C2</f>
        <v>2020</v>
      </c>
      <c r="O4" s="189">
        <f>C3</f>
        <v>99000</v>
      </c>
      <c r="P4" s="189">
        <f>C20</f>
        <v>31952.861952861953</v>
      </c>
      <c r="Q4" s="193">
        <f>P4/O4</f>
        <v>0.32275618134203993</v>
      </c>
      <c r="R4" s="193"/>
      <c r="T4" s="184" t="s">
        <v>544</v>
      </c>
      <c r="U4" s="184" t="s">
        <v>545</v>
      </c>
    </row>
    <row r="5" spans="2:21">
      <c r="B5" s="204" t="s">
        <v>430</v>
      </c>
      <c r="C5" s="195">
        <f t="shared" ref="C5:G5" si="2">C3+C4</f>
        <v>39600</v>
      </c>
      <c r="D5" s="199" t="s">
        <v>19</v>
      </c>
      <c r="E5" s="195">
        <f t="shared" si="2"/>
        <v>38060</v>
      </c>
      <c r="F5" s="199">
        <f t="shared" si="0"/>
        <v>-3.8888888888888862E-2</v>
      </c>
      <c r="G5" s="195">
        <f t="shared" si="2"/>
        <v>22950</v>
      </c>
      <c r="H5" s="199">
        <f t="shared" si="1"/>
        <v>-0.39700472937467157</v>
      </c>
      <c r="I5" s="195">
        <f>I3+I4</f>
        <v>36225.459999999992</v>
      </c>
      <c r="J5" s="199">
        <f t="shared" si="1"/>
        <v>0.57845141612200401</v>
      </c>
      <c r="K5" s="195">
        <f>K3+K4</f>
        <v>50050</v>
      </c>
      <c r="L5" s="199">
        <f t="shared" si="1"/>
        <v>0.38162496763326148</v>
      </c>
      <c r="N5" s="200">
        <f>E2</f>
        <v>2021</v>
      </c>
      <c r="O5" s="189">
        <f>E3</f>
        <v>110000</v>
      </c>
      <c r="P5" s="189">
        <f>E20</f>
        <v>30369.090909090912</v>
      </c>
      <c r="Q5" s="193">
        <f t="shared" ref="Q5:Q8" si="3">P5/O5</f>
        <v>0.27608264462809917</v>
      </c>
      <c r="R5" s="193"/>
      <c r="S5" s="189">
        <f>N5</f>
        <v>2021</v>
      </c>
      <c r="T5" s="186">
        <f>F3</f>
        <v>0.11111111111111116</v>
      </c>
      <c r="U5" s="186">
        <f>F20</f>
        <v>-4.9565858798735429E-2</v>
      </c>
    </row>
    <row r="6" spans="2:21">
      <c r="B6" s="227" t="s">
        <v>77</v>
      </c>
      <c r="C6" s="197">
        <f>C5/C3</f>
        <v>0.4</v>
      </c>
      <c r="D6" s="199" t="s">
        <v>19</v>
      </c>
      <c r="E6" s="197">
        <f t="shared" ref="E6:K6" si="4">E5/E3</f>
        <v>0.34599999999999997</v>
      </c>
      <c r="F6" s="199">
        <f t="shared" si="0"/>
        <v>-0.13500000000000012</v>
      </c>
      <c r="G6" s="197">
        <f t="shared" si="4"/>
        <v>0.255</v>
      </c>
      <c r="H6" s="199">
        <f t="shared" si="1"/>
        <v>-0.26300578034682076</v>
      </c>
      <c r="I6" s="197">
        <f t="shared" si="4"/>
        <v>0.31500399999999995</v>
      </c>
      <c r="J6" s="199">
        <f t="shared" si="1"/>
        <v>0.23530980392156842</v>
      </c>
      <c r="K6" s="197">
        <f t="shared" si="4"/>
        <v>0.35</v>
      </c>
      <c r="L6" s="199">
        <f t="shared" si="1"/>
        <v>0.11109700194283256</v>
      </c>
      <c r="N6" s="200">
        <f>G2</f>
        <v>2022</v>
      </c>
      <c r="O6" s="189">
        <f>G3</f>
        <v>90000</v>
      </c>
      <c r="P6" s="189">
        <f>G20</f>
        <v>12700</v>
      </c>
      <c r="Q6" s="193">
        <f t="shared" si="3"/>
        <v>0.1411111111111111</v>
      </c>
      <c r="R6" s="193"/>
      <c r="S6" s="189">
        <f t="shared" ref="S6:S8" si="5">N6</f>
        <v>2022</v>
      </c>
      <c r="T6" s="186">
        <f>H3</f>
        <v>-0.18181818181818177</v>
      </c>
      <c r="U6" s="186">
        <f>H20</f>
        <v>-0.58181165060168838</v>
      </c>
    </row>
    <row r="7" spans="2:21">
      <c r="B7" s="215" t="s">
        <v>78</v>
      </c>
      <c r="C7" s="196">
        <f>E7/1.08</f>
        <v>-13047.138047138045</v>
      </c>
      <c r="D7" s="199" t="s">
        <v>19</v>
      </c>
      <c r="E7" s="196">
        <f>G7/1.1</f>
        <v>-14090.90909090909</v>
      </c>
      <c r="F7" s="199">
        <f t="shared" si="0"/>
        <v>8.0000000000000071E-2</v>
      </c>
      <c r="G7" s="196">
        <v>-15500</v>
      </c>
      <c r="H7" s="199">
        <f t="shared" si="1"/>
        <v>0.10000000000000009</v>
      </c>
      <c r="I7" s="196">
        <v>-14999.5</v>
      </c>
      <c r="J7" s="199">
        <f t="shared" si="1"/>
        <v>-3.2290322580645126E-2</v>
      </c>
      <c r="K7" s="196">
        <v>-16500</v>
      </c>
      <c r="L7" s="199">
        <f t="shared" si="1"/>
        <v>0.10003666788892973</v>
      </c>
      <c r="N7" s="200">
        <f>I2</f>
        <v>2023</v>
      </c>
      <c r="O7" s="189">
        <f>I3</f>
        <v>115000</v>
      </c>
      <c r="P7" s="189">
        <f>I20</f>
        <v>27225.959999999992</v>
      </c>
      <c r="Q7" s="193">
        <f t="shared" si="3"/>
        <v>0.2367474782608695</v>
      </c>
      <c r="R7" s="193"/>
      <c r="S7" s="189">
        <f t="shared" si="5"/>
        <v>2023</v>
      </c>
      <c r="T7" s="186">
        <f>J3</f>
        <v>0.27777777777777768</v>
      </c>
      <c r="U7" s="186">
        <f>J20</f>
        <v>1.1437763779527552</v>
      </c>
    </row>
    <row r="8" spans="2:21">
      <c r="B8" s="215" t="s">
        <v>79</v>
      </c>
      <c r="C8" s="196">
        <v>-2100</v>
      </c>
      <c r="D8" s="199" t="s">
        <v>19</v>
      </c>
      <c r="E8" s="196">
        <f>-42*50</f>
        <v>-2100</v>
      </c>
      <c r="F8" s="199">
        <f t="shared" si="0"/>
        <v>0</v>
      </c>
      <c r="G8" s="196">
        <v>-3500</v>
      </c>
      <c r="H8" s="199">
        <f t="shared" si="1"/>
        <v>0.66666666666666674</v>
      </c>
      <c r="I8" s="196">
        <f>-60*50</f>
        <v>-3000</v>
      </c>
      <c r="J8" s="199">
        <f t="shared" si="1"/>
        <v>-0.1428571428571429</v>
      </c>
      <c r="K8" s="196">
        <v>-4500</v>
      </c>
      <c r="L8" s="199">
        <f t="shared" si="1"/>
        <v>0.5</v>
      </c>
      <c r="N8" s="200">
        <f>K2</f>
        <v>2024</v>
      </c>
      <c r="O8" s="189">
        <f>K3</f>
        <v>143000</v>
      </c>
      <c r="P8" s="189">
        <f>K20</f>
        <v>38800</v>
      </c>
      <c r="Q8" s="193">
        <f t="shared" si="3"/>
        <v>0.27132867132867133</v>
      </c>
      <c r="R8" s="193"/>
      <c r="S8" s="189">
        <f t="shared" si="5"/>
        <v>2024</v>
      </c>
      <c r="T8" s="186">
        <f>L3</f>
        <v>0.24347826086956514</v>
      </c>
      <c r="U8" s="186">
        <f>L20</f>
        <v>0.42511044605957005</v>
      </c>
    </row>
    <row r="9" spans="2:21">
      <c r="B9" s="204" t="s">
        <v>539</v>
      </c>
      <c r="C9" s="195">
        <f>C5+C7+C8</f>
        <v>24452.861952861953</v>
      </c>
      <c r="D9" s="199" t="s">
        <v>19</v>
      </c>
      <c r="E9" s="195">
        <f>E5+E7+E8</f>
        <v>21869.090909090912</v>
      </c>
      <c r="F9" s="199">
        <f t="shared" si="0"/>
        <v>-0.10566333907056791</v>
      </c>
      <c r="G9" s="195">
        <f>G5+G7+G8</f>
        <v>3950</v>
      </c>
      <c r="H9" s="199">
        <f t="shared" si="1"/>
        <v>-0.81937978051213833</v>
      </c>
      <c r="I9" s="195">
        <f>I5+I7+I8</f>
        <v>18225.959999999992</v>
      </c>
      <c r="J9" s="199">
        <f t="shared" si="1"/>
        <v>3.6141670886075925</v>
      </c>
      <c r="K9" s="195">
        <f>K5+K7+K8</f>
        <v>29050</v>
      </c>
      <c r="L9" s="199">
        <f t="shared" si="1"/>
        <v>0.5938803772201855</v>
      </c>
    </row>
    <row r="10" spans="2:21">
      <c r="B10" s="227" t="s">
        <v>81</v>
      </c>
      <c r="C10" s="197">
        <f>C9/C3</f>
        <v>0.24699860558446418</v>
      </c>
      <c r="D10" s="199" t="s">
        <v>19</v>
      </c>
      <c r="E10" s="197">
        <f>E9/E3</f>
        <v>0.19880991735537193</v>
      </c>
      <c r="F10" s="199">
        <f t="shared" si="0"/>
        <v>-0.19509700516351114</v>
      </c>
      <c r="G10" s="197">
        <f>G9/G3</f>
        <v>4.3888888888888887E-2</v>
      </c>
      <c r="H10" s="199">
        <f t="shared" si="1"/>
        <v>-0.7792419539592802</v>
      </c>
      <c r="I10" s="197">
        <f>I9/I3</f>
        <v>0.15848660869565209</v>
      </c>
      <c r="J10" s="199">
        <f t="shared" si="1"/>
        <v>2.6110872867363768</v>
      </c>
      <c r="K10" s="197">
        <f>K9/K3</f>
        <v>0.20314685314685316</v>
      </c>
      <c r="L10" s="199">
        <f t="shared" si="1"/>
        <v>0.281791911750499</v>
      </c>
    </row>
    <row r="11" spans="2:21">
      <c r="B11" s="215" t="s">
        <v>82</v>
      </c>
      <c r="C11" s="196">
        <v>-6573.4</v>
      </c>
      <c r="D11" s="199" t="s">
        <v>19</v>
      </c>
      <c r="E11" s="196">
        <v>-7092</v>
      </c>
      <c r="F11" s="199">
        <f t="shared" si="0"/>
        <v>7.8893723187391629E-2</v>
      </c>
      <c r="G11" s="196">
        <v>-6462</v>
      </c>
      <c r="H11" s="199">
        <f t="shared" si="1"/>
        <v>-8.8832487309644659E-2</v>
      </c>
      <c r="I11" s="196">
        <v>-7688.49</v>
      </c>
      <c r="J11" s="199">
        <f t="shared" si="1"/>
        <v>0.18980037140204264</v>
      </c>
      <c r="K11" s="196">
        <v>-8454</v>
      </c>
      <c r="L11" s="199">
        <f t="shared" si="1"/>
        <v>9.9565714464088462E-2</v>
      </c>
    </row>
    <row r="12" spans="2:21">
      <c r="B12" s="204" t="s">
        <v>501</v>
      </c>
      <c r="C12" s="195">
        <f>C9+C11</f>
        <v>17879.461952861951</v>
      </c>
      <c r="D12" s="199" t="s">
        <v>19</v>
      </c>
      <c r="E12" s="195">
        <f>E9+E11</f>
        <v>14777.090909090912</v>
      </c>
      <c r="F12" s="199">
        <f t="shared" si="0"/>
        <v>-0.17351590623645397</v>
      </c>
      <c r="G12" s="195">
        <f t="shared" ref="G12" si="6">G9+G11</f>
        <v>-2512</v>
      </c>
      <c r="H12" s="199">
        <f t="shared" si="1"/>
        <v>-1.1699928636464305</v>
      </c>
      <c r="I12" s="195">
        <f>I9+I11</f>
        <v>10537.469999999992</v>
      </c>
      <c r="J12" s="199">
        <f t="shared" si="1"/>
        <v>-5.1948527070063664</v>
      </c>
      <c r="K12" s="195">
        <f>K9+K11</f>
        <v>20596</v>
      </c>
      <c r="L12" s="199">
        <f t="shared" si="1"/>
        <v>0.95454886229806735</v>
      </c>
    </row>
    <row r="13" spans="2:21">
      <c r="B13" s="215" t="s">
        <v>83</v>
      </c>
      <c r="C13" s="196">
        <f>-C12*34%</f>
        <v>-6079.0170639730641</v>
      </c>
      <c r="D13" s="199" t="s">
        <v>19</v>
      </c>
      <c r="E13" s="196">
        <f t="shared" ref="E13:I13" si="7">-E12*34%</f>
        <v>-5024.2109090909107</v>
      </c>
      <c r="F13" s="199">
        <f t="shared" si="0"/>
        <v>-0.17351590623645385</v>
      </c>
      <c r="G13" s="196">
        <f t="shared" si="7"/>
        <v>854.08</v>
      </c>
      <c r="H13" s="199">
        <f t="shared" si="1"/>
        <v>-1.1699928636464305</v>
      </c>
      <c r="I13" s="196">
        <f t="shared" si="7"/>
        <v>-3582.7397999999976</v>
      </c>
      <c r="J13" s="199">
        <f t="shared" si="1"/>
        <v>-5.1948527070063664</v>
      </c>
      <c r="K13" s="196">
        <f>-K12*34%</f>
        <v>-7002.64</v>
      </c>
      <c r="L13" s="199">
        <f t="shared" si="1"/>
        <v>0.95454886229806735</v>
      </c>
    </row>
    <row r="14" spans="2:21">
      <c r="B14" s="204" t="s">
        <v>540</v>
      </c>
      <c r="C14" s="195">
        <f>C12+C13</f>
        <v>11800.444888888887</v>
      </c>
      <c r="D14" s="199" t="s">
        <v>19</v>
      </c>
      <c r="E14" s="195">
        <f t="shared" ref="E14:G14" si="8">E12+E13</f>
        <v>9752.880000000001</v>
      </c>
      <c r="F14" s="199">
        <f t="shared" si="0"/>
        <v>-0.17351590623645397</v>
      </c>
      <c r="G14" s="195">
        <f t="shared" si="8"/>
        <v>-1657.92</v>
      </c>
      <c r="H14" s="199">
        <f t="shared" si="1"/>
        <v>-1.1699928636464305</v>
      </c>
      <c r="I14" s="195">
        <f>I12+I13</f>
        <v>6954.7301999999945</v>
      </c>
      <c r="J14" s="199">
        <f t="shared" si="1"/>
        <v>-5.1948527070063664</v>
      </c>
      <c r="K14" s="195">
        <f>K12+K13</f>
        <v>13593.36</v>
      </c>
      <c r="L14" s="199">
        <f t="shared" si="1"/>
        <v>0.95454886229806757</v>
      </c>
    </row>
    <row r="15" spans="2:21">
      <c r="B15" s="227" t="s">
        <v>84</v>
      </c>
      <c r="C15" s="197">
        <f>C14/C3</f>
        <v>0.11919641301907967</v>
      </c>
      <c r="D15" s="199" t="s">
        <v>19</v>
      </c>
      <c r="E15" s="197">
        <f>E14/E3</f>
        <v>8.8662545454545466E-2</v>
      </c>
      <c r="F15" s="199">
        <f t="shared" si="0"/>
        <v>-0.2561643156128085</v>
      </c>
      <c r="G15" s="197">
        <f>G14/G3</f>
        <v>-1.8421333333333335E-2</v>
      </c>
      <c r="H15" s="199">
        <f t="shared" si="1"/>
        <v>-1.2077690555678595</v>
      </c>
      <c r="I15" s="197">
        <f>I14/I3</f>
        <v>6.047591478260865E-2</v>
      </c>
      <c r="J15" s="199">
        <f t="shared" si="1"/>
        <v>-4.2829282054832429</v>
      </c>
      <c r="K15" s="197">
        <f>K14/K3</f>
        <v>9.5058461538461536E-2</v>
      </c>
      <c r="L15" s="199">
        <f t="shared" si="1"/>
        <v>0.57183999415578834</v>
      </c>
    </row>
    <row r="16" spans="2:21">
      <c r="C16" s="189"/>
      <c r="D16" s="199"/>
      <c r="E16" s="189"/>
      <c r="F16" s="199"/>
      <c r="G16" s="189"/>
      <c r="H16" s="199"/>
      <c r="I16" s="191"/>
      <c r="J16" s="199"/>
      <c r="K16" s="191"/>
      <c r="L16" s="199"/>
    </row>
    <row r="17" spans="2:12">
      <c r="B17" s="181" t="s">
        <v>211</v>
      </c>
      <c r="C17" s="188"/>
      <c r="D17" s="199"/>
      <c r="E17" s="188"/>
      <c r="F17" s="199"/>
      <c r="G17" s="188"/>
      <c r="H17" s="199"/>
      <c r="I17" s="188"/>
      <c r="J17" s="199"/>
      <c r="K17" s="188"/>
      <c r="L17" s="199"/>
    </row>
    <row r="18" spans="2:12">
      <c r="B18" s="204" t="s">
        <v>80</v>
      </c>
      <c r="C18" s="194">
        <f>C9</f>
        <v>24452.861952861953</v>
      </c>
      <c r="D18" s="199" t="s">
        <v>19</v>
      </c>
      <c r="E18" s="194">
        <f t="shared" ref="E18:K18" si="9">E9</f>
        <v>21869.090909090912</v>
      </c>
      <c r="F18" s="199">
        <f>E18/C18-1</f>
        <v>-0.10566333907056791</v>
      </c>
      <c r="G18" s="194">
        <f t="shared" si="9"/>
        <v>3950</v>
      </c>
      <c r="H18" s="199">
        <f t="shared" si="1"/>
        <v>-0.81937978051213833</v>
      </c>
      <c r="I18" s="194">
        <f t="shared" si="9"/>
        <v>18225.959999999992</v>
      </c>
      <c r="J18" s="199">
        <f t="shared" si="1"/>
        <v>3.6141670886075925</v>
      </c>
      <c r="K18" s="194">
        <f t="shared" si="9"/>
        <v>29050</v>
      </c>
      <c r="L18" s="199">
        <f t="shared" si="1"/>
        <v>0.5938803772201855</v>
      </c>
    </row>
    <row r="19" spans="2:12">
      <c r="B19" s="215" t="s">
        <v>85</v>
      </c>
      <c r="C19" s="196">
        <v>7500</v>
      </c>
      <c r="D19" s="199" t="s">
        <v>19</v>
      </c>
      <c r="E19" s="196">
        <v>8500</v>
      </c>
      <c r="F19" s="199">
        <f>E19/C19-1</f>
        <v>0.1333333333333333</v>
      </c>
      <c r="G19" s="196">
        <v>8750</v>
      </c>
      <c r="H19" s="199">
        <f t="shared" si="1"/>
        <v>2.9411764705882248E-2</v>
      </c>
      <c r="I19" s="196">
        <v>9000</v>
      </c>
      <c r="J19" s="199">
        <f t="shared" si="1"/>
        <v>2.857142857142847E-2</v>
      </c>
      <c r="K19" s="196">
        <v>9750</v>
      </c>
      <c r="L19" s="199">
        <f t="shared" si="1"/>
        <v>8.3333333333333259E-2</v>
      </c>
    </row>
    <row r="20" spans="2:12">
      <c r="B20" s="204" t="s">
        <v>86</v>
      </c>
      <c r="C20" s="195">
        <f>C9+C19</f>
        <v>31952.861952861953</v>
      </c>
      <c r="D20" s="199" t="s">
        <v>19</v>
      </c>
      <c r="E20" s="195">
        <f>E9+E19</f>
        <v>30369.090909090912</v>
      </c>
      <c r="F20" s="199">
        <f>E20/C20-1</f>
        <v>-4.9565858798735429E-2</v>
      </c>
      <c r="G20" s="195">
        <f>G9+G19</f>
        <v>12700</v>
      </c>
      <c r="H20" s="199">
        <f t="shared" si="1"/>
        <v>-0.58181165060168838</v>
      </c>
      <c r="I20" s="195">
        <f>I9+I19</f>
        <v>27225.959999999992</v>
      </c>
      <c r="J20" s="199">
        <f t="shared" si="1"/>
        <v>1.1437763779527552</v>
      </c>
      <c r="K20" s="195">
        <f>K9+K19</f>
        <v>38800</v>
      </c>
      <c r="L20" s="199">
        <f t="shared" si="1"/>
        <v>0.42511044605957005</v>
      </c>
    </row>
    <row r="21" spans="2:12">
      <c r="B21" s="227" t="s">
        <v>87</v>
      </c>
      <c r="C21" s="197">
        <f>C20/C3</f>
        <v>0.32275618134203993</v>
      </c>
      <c r="D21" s="199" t="s">
        <v>19</v>
      </c>
      <c r="E21" s="197">
        <f>E20/E3</f>
        <v>0.27608264462809917</v>
      </c>
      <c r="F21" s="199">
        <f>E21/C21-1</f>
        <v>-0.14460927291886194</v>
      </c>
      <c r="G21" s="197">
        <f>G20/G3</f>
        <v>0.1411111111111111</v>
      </c>
      <c r="H21" s="199">
        <f t="shared" si="1"/>
        <v>-0.48888090629095238</v>
      </c>
      <c r="I21" s="197">
        <f>I20/I3</f>
        <v>0.2367474782608695</v>
      </c>
      <c r="J21" s="199">
        <f t="shared" si="1"/>
        <v>0.67773803491954765</v>
      </c>
      <c r="K21" s="197">
        <f>K20/K3</f>
        <v>0.27132867132867133</v>
      </c>
      <c r="L21" s="199">
        <f t="shared" si="1"/>
        <v>0.14606784123671712</v>
      </c>
    </row>
    <row r="22" spans="2:12">
      <c r="B22" s="182"/>
      <c r="C22" s="190"/>
      <c r="D22" s="190"/>
      <c r="E22" s="190"/>
      <c r="F22" s="190"/>
      <c r="G22" s="190"/>
      <c r="H22" s="190"/>
      <c r="I22" s="190"/>
      <c r="J22" s="190"/>
      <c r="K22" s="190"/>
      <c r="L22" s="190"/>
    </row>
    <row r="24" spans="2:12">
      <c r="B24" s="182" t="s">
        <v>542</v>
      </c>
      <c r="D24" s="203"/>
      <c r="F24" s="203"/>
      <c r="H24" s="203"/>
      <c r="J24" s="203"/>
      <c r="L24" s="203"/>
    </row>
    <row r="25" spans="2:12">
      <c r="B25" s="209" t="s">
        <v>256</v>
      </c>
      <c r="C25" s="194">
        <v>2020</v>
      </c>
      <c r="D25" s="203" t="s">
        <v>541</v>
      </c>
      <c r="E25" s="194">
        <f>C25+1</f>
        <v>2021</v>
      </c>
      <c r="F25" s="203" t="s">
        <v>541</v>
      </c>
      <c r="G25" s="194">
        <f>E25+1</f>
        <v>2022</v>
      </c>
      <c r="H25" s="203" t="s">
        <v>541</v>
      </c>
      <c r="I25" s="194">
        <f>G25+1</f>
        <v>2023</v>
      </c>
      <c r="J25" s="203" t="s">
        <v>541</v>
      </c>
      <c r="K25" s="194">
        <f>I25+1</f>
        <v>2024</v>
      </c>
      <c r="L25" s="203" t="s">
        <v>541</v>
      </c>
    </row>
    <row r="26" spans="2:12">
      <c r="B26" s="210" t="s">
        <v>90</v>
      </c>
      <c r="C26" s="206">
        <f>C51-C34-C28-C27</f>
        <v>4800.4448888888874</v>
      </c>
      <c r="D26" s="203" t="s">
        <v>19</v>
      </c>
      <c r="E26" s="206">
        <f>E51-E34-E28-E27</f>
        <v>1553.324888888892</v>
      </c>
      <c r="F26" s="203">
        <f>E26/C26-1</f>
        <v>-0.67642063916112882</v>
      </c>
      <c r="G26" s="206">
        <f>G51-G34-G28-G27</f>
        <v>3695.4048888888792</v>
      </c>
      <c r="H26" s="203">
        <f>G26/E26-1</f>
        <v>1.3790289560944569</v>
      </c>
      <c r="I26" s="206">
        <f>I51-I34-I28-I27</f>
        <v>4850.1350888888701</v>
      </c>
      <c r="J26" s="203">
        <f>I26/G26-1</f>
        <v>0.31247731567167758</v>
      </c>
      <c r="K26" s="206">
        <f>K51-K34-K28-K27</f>
        <v>5243.4950888888852</v>
      </c>
      <c r="L26" s="203" t="s">
        <v>548</v>
      </c>
    </row>
    <row r="27" spans="2:12">
      <c r="B27" s="210" t="s">
        <v>91</v>
      </c>
      <c r="C27" s="206">
        <v>15000</v>
      </c>
      <c r="D27" s="203" t="s">
        <v>19</v>
      </c>
      <c r="E27" s="206">
        <v>25000</v>
      </c>
      <c r="F27" s="203">
        <f t="shared" ref="F27:L41" si="10">E27/C27-1</f>
        <v>0.66666666666666674</v>
      </c>
      <c r="G27" s="206">
        <v>13200</v>
      </c>
      <c r="H27" s="203">
        <f t="shared" si="10"/>
        <v>-0.47199999999999998</v>
      </c>
      <c r="I27" s="206">
        <v>16000</v>
      </c>
      <c r="J27" s="203">
        <f t="shared" si="10"/>
        <v>0.21212121212121215</v>
      </c>
      <c r="K27" s="206">
        <v>19500</v>
      </c>
      <c r="L27" s="203">
        <f t="shared" si="10"/>
        <v>0.21875</v>
      </c>
    </row>
    <row r="28" spans="2:12">
      <c r="B28" s="210" t="s">
        <v>92</v>
      </c>
      <c r="C28" s="206">
        <v>20000</v>
      </c>
      <c r="D28" s="203" t="s">
        <v>19</v>
      </c>
      <c r="E28" s="206">
        <v>22500</v>
      </c>
      <c r="F28" s="203">
        <f t="shared" si="10"/>
        <v>0.125</v>
      </c>
      <c r="G28" s="206">
        <v>20500</v>
      </c>
      <c r="H28" s="203">
        <f t="shared" si="10"/>
        <v>-8.8888888888888906E-2</v>
      </c>
      <c r="I28" s="206">
        <v>25000</v>
      </c>
      <c r="J28" s="203">
        <f t="shared" si="10"/>
        <v>0.21951219512195119</v>
      </c>
      <c r="K28" s="206">
        <v>26000</v>
      </c>
      <c r="L28" s="203">
        <f t="shared" si="10"/>
        <v>4.0000000000000036E-2</v>
      </c>
    </row>
    <row r="29" spans="2:12">
      <c r="B29" s="211" t="s">
        <v>89</v>
      </c>
      <c r="C29" s="208">
        <f>SUM(C26:C28)</f>
        <v>39800.444888888887</v>
      </c>
      <c r="D29" s="203" t="s">
        <v>19</v>
      </c>
      <c r="E29" s="208">
        <f>SUM(E26:E28)</f>
        <v>49053.324888888892</v>
      </c>
      <c r="F29" s="203">
        <f t="shared" si="10"/>
        <v>0.23248182340251011</v>
      </c>
      <c r="G29" s="208">
        <f>SUM(G26:G28)</f>
        <v>37395.404888888879</v>
      </c>
      <c r="H29" s="203">
        <f t="shared" si="10"/>
        <v>-0.23765810016765365</v>
      </c>
      <c r="I29" s="208">
        <f>SUM(I26:I28)</f>
        <v>45850.13508888887</v>
      </c>
      <c r="J29" s="203">
        <f t="shared" si="10"/>
        <v>0.22609008312976187</v>
      </c>
      <c r="K29" s="208">
        <f>SUM(K26:K28)</f>
        <v>50743.495088888885</v>
      </c>
      <c r="L29" s="203">
        <f t="shared" si="10"/>
        <v>0.10672509449565082</v>
      </c>
    </row>
    <row r="30" spans="2:12">
      <c r="B30" s="212"/>
      <c r="C30" s="206"/>
      <c r="D30" s="203"/>
      <c r="E30" s="206"/>
      <c r="F30" s="203"/>
      <c r="G30" s="206"/>
      <c r="H30" s="203"/>
      <c r="I30" s="206"/>
      <c r="J30" s="203"/>
      <c r="K30" s="206"/>
      <c r="L30" s="203"/>
    </row>
    <row r="31" spans="2:12">
      <c r="B31" s="210" t="s">
        <v>93</v>
      </c>
      <c r="C31" s="206">
        <v>1000</v>
      </c>
      <c r="D31" s="203" t="s">
        <v>19</v>
      </c>
      <c r="E31" s="206">
        <v>2500</v>
      </c>
      <c r="F31" s="203">
        <f t="shared" si="10"/>
        <v>1.5</v>
      </c>
      <c r="G31" s="206">
        <v>3500</v>
      </c>
      <c r="H31" s="203">
        <f t="shared" si="10"/>
        <v>0.39999999999999991</v>
      </c>
      <c r="I31" s="206">
        <v>4000</v>
      </c>
      <c r="J31" s="203">
        <f t="shared" si="10"/>
        <v>0.14285714285714279</v>
      </c>
      <c r="K31" s="206">
        <v>4200</v>
      </c>
      <c r="L31" s="203">
        <f t="shared" si="10"/>
        <v>5.0000000000000044E-2</v>
      </c>
    </row>
    <row r="32" spans="2:12">
      <c r="B32" s="210" t="s">
        <v>48</v>
      </c>
      <c r="C32" s="206">
        <v>9500</v>
      </c>
      <c r="D32" s="203" t="s">
        <v>19</v>
      </c>
      <c r="E32" s="206">
        <v>10000</v>
      </c>
      <c r="F32" s="203">
        <f t="shared" si="10"/>
        <v>5.2631578947368363E-2</v>
      </c>
      <c r="G32" s="206">
        <v>13000</v>
      </c>
      <c r="H32" s="203">
        <f t="shared" si="10"/>
        <v>0.30000000000000004</v>
      </c>
      <c r="I32" s="206">
        <v>14000</v>
      </c>
      <c r="J32" s="203">
        <f t="shared" si="10"/>
        <v>7.6923076923076872E-2</v>
      </c>
      <c r="K32" s="206">
        <v>15000</v>
      </c>
      <c r="L32" s="203">
        <f t="shared" si="10"/>
        <v>7.1428571428571397E-2</v>
      </c>
    </row>
    <row r="33" spans="2:12">
      <c r="B33" s="210" t="s">
        <v>29</v>
      </c>
      <c r="C33" s="206">
        <v>75000</v>
      </c>
      <c r="D33" s="203" t="s">
        <v>19</v>
      </c>
      <c r="E33" s="206">
        <v>85000</v>
      </c>
      <c r="F33" s="203">
        <f t="shared" si="10"/>
        <v>0.1333333333333333</v>
      </c>
      <c r="G33" s="206">
        <v>87500</v>
      </c>
      <c r="H33" s="203">
        <f t="shared" si="10"/>
        <v>2.9411764705882248E-2</v>
      </c>
      <c r="I33" s="206">
        <v>90000</v>
      </c>
      <c r="J33" s="203">
        <f t="shared" si="10"/>
        <v>2.857142857142847E-2</v>
      </c>
      <c r="K33" s="206">
        <v>97500</v>
      </c>
      <c r="L33" s="203">
        <f t="shared" si="10"/>
        <v>8.3333333333333259E-2</v>
      </c>
    </row>
    <row r="34" spans="2:12">
      <c r="B34" s="211" t="s">
        <v>11</v>
      </c>
      <c r="C34" s="206">
        <f>SUM(C31:C33)</f>
        <v>85500</v>
      </c>
      <c r="D34" s="203" t="s">
        <v>19</v>
      </c>
      <c r="E34" s="206">
        <f>SUM(E31:E33)</f>
        <v>97500</v>
      </c>
      <c r="F34" s="203">
        <f t="shared" si="10"/>
        <v>0.14035087719298245</v>
      </c>
      <c r="G34" s="206">
        <f>SUM(G31:G33)</f>
        <v>104000</v>
      </c>
      <c r="H34" s="203">
        <f t="shared" si="10"/>
        <v>6.6666666666666652E-2</v>
      </c>
      <c r="I34" s="206">
        <f>SUM(I31:I33)</f>
        <v>108000</v>
      </c>
      <c r="J34" s="203">
        <f t="shared" si="10"/>
        <v>3.8461538461538547E-2</v>
      </c>
      <c r="K34" s="206">
        <f>SUM(K31:K33)</f>
        <v>116700</v>
      </c>
      <c r="L34" s="203">
        <f t="shared" si="10"/>
        <v>8.0555555555555491E-2</v>
      </c>
    </row>
    <row r="35" spans="2:12">
      <c r="B35" s="209" t="s">
        <v>547</v>
      </c>
      <c r="C35" s="208">
        <f>C29+C34</f>
        <v>125300.44488888889</v>
      </c>
      <c r="D35" s="203" t="s">
        <v>19</v>
      </c>
      <c r="E35" s="208">
        <f>E29+E34</f>
        <v>146553.32488888889</v>
      </c>
      <c r="F35" s="203">
        <f t="shared" si="10"/>
        <v>0.16961535945739192</v>
      </c>
      <c r="G35" s="208">
        <f>G29+G34</f>
        <v>141395.40488888888</v>
      </c>
      <c r="H35" s="203">
        <f t="shared" si="10"/>
        <v>-3.5194834398404429E-2</v>
      </c>
      <c r="I35" s="208">
        <f>I29+I34</f>
        <v>153850.13508888887</v>
      </c>
      <c r="J35" s="203">
        <f t="shared" si="10"/>
        <v>8.8084405640955321E-2</v>
      </c>
      <c r="K35" s="208">
        <f>K29+K34</f>
        <v>167443.49508888889</v>
      </c>
      <c r="L35" s="203">
        <f t="shared" si="10"/>
        <v>8.8354553553991133E-2</v>
      </c>
    </row>
    <row r="36" spans="2:12">
      <c r="C36" s="189"/>
      <c r="D36" s="203"/>
      <c r="E36" s="189"/>
      <c r="F36" s="203"/>
      <c r="G36" s="189"/>
      <c r="H36" s="203"/>
      <c r="I36" s="189"/>
      <c r="J36" s="203"/>
      <c r="K36" s="189"/>
      <c r="L36" s="203"/>
    </row>
    <row r="37" spans="2:12">
      <c r="B37" s="205" t="s">
        <v>95</v>
      </c>
      <c r="C37" s="206">
        <v>11500</v>
      </c>
      <c r="D37" s="203" t="s">
        <v>19</v>
      </c>
      <c r="E37" s="206">
        <v>12500</v>
      </c>
      <c r="F37" s="203">
        <f t="shared" si="10"/>
        <v>8.6956521739130377E-2</v>
      </c>
      <c r="G37" s="206">
        <v>11000</v>
      </c>
      <c r="H37" s="203">
        <f t="shared" si="10"/>
        <v>-0.12</v>
      </c>
      <c r="I37" s="206">
        <v>11500</v>
      </c>
      <c r="J37" s="203">
        <f t="shared" si="10"/>
        <v>4.5454545454545414E-2</v>
      </c>
      <c r="K37" s="206">
        <v>15000</v>
      </c>
      <c r="L37" s="203">
        <f t="shared" si="10"/>
        <v>0.30434782608695654</v>
      </c>
    </row>
    <row r="38" spans="2:12">
      <c r="B38" s="205" t="s">
        <v>96</v>
      </c>
      <c r="C38" s="206">
        <v>5000</v>
      </c>
      <c r="D38" s="203" t="s">
        <v>19</v>
      </c>
      <c r="E38" s="206">
        <v>6000</v>
      </c>
      <c r="F38" s="203">
        <f t="shared" si="10"/>
        <v>0.19999999999999996</v>
      </c>
      <c r="G38" s="206">
        <v>6500</v>
      </c>
      <c r="H38" s="203">
        <f t="shared" si="10"/>
        <v>8.3333333333333259E-2</v>
      </c>
      <c r="I38" s="206">
        <v>6000</v>
      </c>
      <c r="J38" s="203">
        <f t="shared" si="10"/>
        <v>-7.6923076923076872E-2</v>
      </c>
      <c r="K38" s="206">
        <v>7000</v>
      </c>
      <c r="L38" s="203">
        <f t="shared" si="10"/>
        <v>0.16666666666666674</v>
      </c>
    </row>
    <row r="39" spans="2:12">
      <c r="B39" s="205" t="s">
        <v>97</v>
      </c>
      <c r="C39" s="206">
        <v>3000</v>
      </c>
      <c r="D39" s="203" t="s">
        <v>19</v>
      </c>
      <c r="E39" s="206">
        <v>7500</v>
      </c>
      <c r="F39" s="203">
        <f t="shared" si="10"/>
        <v>1.5</v>
      </c>
      <c r="G39" s="206">
        <v>10000</v>
      </c>
      <c r="H39" s="203">
        <f t="shared" si="10"/>
        <v>0.33333333333333326</v>
      </c>
      <c r="I39" s="206">
        <v>7000</v>
      </c>
      <c r="J39" s="203">
        <f t="shared" si="10"/>
        <v>-0.30000000000000004</v>
      </c>
      <c r="K39" s="206">
        <v>12500</v>
      </c>
      <c r="L39" s="203">
        <f t="shared" si="10"/>
        <v>0.78571428571428581</v>
      </c>
    </row>
    <row r="40" spans="2:12">
      <c r="B40" s="205" t="s">
        <v>98</v>
      </c>
      <c r="C40" s="206">
        <v>0</v>
      </c>
      <c r="D40" s="203" t="s">
        <v>19</v>
      </c>
      <c r="E40" s="206">
        <v>0</v>
      </c>
      <c r="F40" s="203" t="s">
        <v>548</v>
      </c>
      <c r="G40" s="206">
        <v>10000</v>
      </c>
      <c r="H40" s="203" t="s">
        <v>548</v>
      </c>
      <c r="I40" s="206">
        <v>10000</v>
      </c>
      <c r="J40" s="203">
        <f t="shared" si="10"/>
        <v>0</v>
      </c>
      <c r="K40" s="206">
        <v>5000</v>
      </c>
      <c r="L40" s="203">
        <f t="shared" si="10"/>
        <v>-0.5</v>
      </c>
    </row>
    <row r="41" spans="2:12">
      <c r="B41" s="207" t="s">
        <v>94</v>
      </c>
      <c r="C41" s="208">
        <f>SUM(C37:C40)</f>
        <v>19500</v>
      </c>
      <c r="D41" s="203" t="s">
        <v>19</v>
      </c>
      <c r="E41" s="208">
        <f>SUM(E37:E40)</f>
        <v>26000</v>
      </c>
      <c r="F41" s="203">
        <f t="shared" si="10"/>
        <v>0.33333333333333326</v>
      </c>
      <c r="G41" s="208">
        <f>SUM(G37:G40)</f>
        <v>37500</v>
      </c>
      <c r="H41" s="203">
        <f t="shared" si="10"/>
        <v>0.44230769230769229</v>
      </c>
      <c r="I41" s="208">
        <f>SUM(I37:I40)</f>
        <v>34500</v>
      </c>
      <c r="J41" s="203">
        <f t="shared" si="10"/>
        <v>-7.999999999999996E-2</v>
      </c>
      <c r="K41" s="208">
        <f>SUM(K37:K40)</f>
        <v>39500</v>
      </c>
      <c r="L41" s="203">
        <f t="shared" si="10"/>
        <v>0.14492753623188404</v>
      </c>
    </row>
    <row r="42" spans="2:12">
      <c r="B42" s="212"/>
      <c r="C42" s="206"/>
      <c r="D42" s="203"/>
      <c r="E42" s="206"/>
      <c r="F42" s="203"/>
      <c r="G42" s="206"/>
      <c r="H42" s="203"/>
      <c r="I42" s="206"/>
      <c r="J42" s="203"/>
      <c r="K42" s="206"/>
      <c r="L42" s="203"/>
    </row>
    <row r="43" spans="2:12">
      <c r="B43" s="210" t="s">
        <v>99</v>
      </c>
      <c r="C43" s="206">
        <v>20000</v>
      </c>
      <c r="D43" s="203" t="s">
        <v>19</v>
      </c>
      <c r="E43" s="206">
        <v>25000</v>
      </c>
      <c r="F43" s="203">
        <f t="shared" ref="F43:L51" si="11">E43/C43-1</f>
        <v>0.25</v>
      </c>
      <c r="G43" s="206">
        <v>15000</v>
      </c>
      <c r="H43" s="203">
        <f t="shared" si="11"/>
        <v>-0.4</v>
      </c>
      <c r="I43" s="206">
        <v>15000</v>
      </c>
      <c r="J43" s="203">
        <f t="shared" si="11"/>
        <v>0</v>
      </c>
      <c r="K43" s="206">
        <v>18000</v>
      </c>
      <c r="L43" s="203">
        <f t="shared" si="11"/>
        <v>0.19999999999999996</v>
      </c>
    </row>
    <row r="44" spans="2:12">
      <c r="B44" s="210" t="s">
        <v>100</v>
      </c>
      <c r="C44" s="206">
        <v>30000</v>
      </c>
      <c r="D44" s="203" t="s">
        <v>19</v>
      </c>
      <c r="E44" s="206">
        <v>30000</v>
      </c>
      <c r="F44" s="203">
        <f t="shared" si="11"/>
        <v>0</v>
      </c>
      <c r="G44" s="206">
        <v>25000</v>
      </c>
      <c r="H44" s="203">
        <f t="shared" si="11"/>
        <v>-0.16666666666666663</v>
      </c>
      <c r="I44" s="206">
        <v>37500</v>
      </c>
      <c r="J44" s="203">
        <f t="shared" si="11"/>
        <v>0.5</v>
      </c>
      <c r="K44" s="206">
        <v>35000</v>
      </c>
      <c r="L44" s="203">
        <f t="shared" si="11"/>
        <v>-6.6666666666666652E-2</v>
      </c>
    </row>
    <row r="45" spans="2:12">
      <c r="B45" s="210" t="s">
        <v>103</v>
      </c>
      <c r="C45" s="206">
        <v>4000</v>
      </c>
      <c r="D45" s="203" t="s">
        <v>19</v>
      </c>
      <c r="E45" s="206">
        <v>5000</v>
      </c>
      <c r="F45" s="203">
        <f t="shared" si="11"/>
        <v>0.25</v>
      </c>
      <c r="G45" s="206">
        <v>5000</v>
      </c>
      <c r="H45" s="203">
        <f t="shared" si="11"/>
        <v>0</v>
      </c>
      <c r="I45" s="206">
        <v>7000</v>
      </c>
      <c r="J45" s="203">
        <f t="shared" si="11"/>
        <v>0.39999999999999991</v>
      </c>
      <c r="K45" s="206">
        <v>7500</v>
      </c>
      <c r="L45" s="203">
        <f t="shared" si="11"/>
        <v>7.1428571428571397E-2</v>
      </c>
    </row>
    <row r="46" spans="2:12">
      <c r="B46" s="211" t="s">
        <v>101</v>
      </c>
      <c r="C46" s="208">
        <f>SUM(C43:C45)</f>
        <v>54000</v>
      </c>
      <c r="D46" s="203" t="s">
        <v>19</v>
      </c>
      <c r="E46" s="208">
        <f>SUM(E43:E45)</f>
        <v>60000</v>
      </c>
      <c r="F46" s="203">
        <f t="shared" si="11"/>
        <v>0.11111111111111116</v>
      </c>
      <c r="G46" s="208">
        <f>SUM(G43:G45)</f>
        <v>45000</v>
      </c>
      <c r="H46" s="203">
        <f t="shared" si="11"/>
        <v>-0.25</v>
      </c>
      <c r="I46" s="208">
        <f>SUM(I43:I45)</f>
        <v>59500</v>
      </c>
      <c r="J46" s="203">
        <f t="shared" si="11"/>
        <v>0.32222222222222219</v>
      </c>
      <c r="K46" s="208">
        <f>SUM(K43:K45)</f>
        <v>60500</v>
      </c>
      <c r="L46" s="203">
        <f t="shared" si="11"/>
        <v>1.6806722689075571E-2</v>
      </c>
    </row>
    <row r="47" spans="2:12">
      <c r="B47" s="212"/>
      <c r="C47" s="206"/>
      <c r="D47" s="203"/>
      <c r="E47" s="206"/>
      <c r="F47" s="203"/>
      <c r="G47" s="206"/>
      <c r="H47" s="203"/>
      <c r="I47" s="206"/>
      <c r="J47" s="203"/>
      <c r="K47" s="206"/>
      <c r="L47" s="203"/>
    </row>
    <row r="48" spans="2:12">
      <c r="B48" s="210" t="s">
        <v>105</v>
      </c>
      <c r="C48" s="206">
        <v>44000</v>
      </c>
      <c r="D48" s="203" t="s">
        <v>19</v>
      </c>
      <c r="E48" s="206">
        <v>47000</v>
      </c>
      <c r="F48" s="203">
        <f t="shared" si="11"/>
        <v>6.8181818181818121E-2</v>
      </c>
      <c r="G48" s="206">
        <f>E48</f>
        <v>47000</v>
      </c>
      <c r="H48" s="203">
        <f t="shared" si="11"/>
        <v>0</v>
      </c>
      <c r="I48" s="206">
        <f>G48</f>
        <v>47000</v>
      </c>
      <c r="J48" s="203">
        <f t="shared" si="11"/>
        <v>0</v>
      </c>
      <c r="K48" s="206">
        <f>I48</f>
        <v>47000</v>
      </c>
      <c r="L48" s="203">
        <f t="shared" si="11"/>
        <v>0</v>
      </c>
    </row>
    <row r="49" spans="2:19">
      <c r="B49" s="210" t="s">
        <v>106</v>
      </c>
      <c r="C49" s="206">
        <f>C54</f>
        <v>7800.4448888888874</v>
      </c>
      <c r="D49" s="203" t="s">
        <v>19</v>
      </c>
      <c r="E49" s="206">
        <f>C49+E54</f>
        <v>13553.324888888888</v>
      </c>
      <c r="F49" s="203">
        <f t="shared" si="11"/>
        <v>0.73750665275445004</v>
      </c>
      <c r="G49" s="206">
        <f>E49+G54</f>
        <v>11895.404888888888</v>
      </c>
      <c r="H49" s="203">
        <f t="shared" si="11"/>
        <v>-0.12232570336738369</v>
      </c>
      <c r="I49" s="206">
        <f>G49+I54</f>
        <v>12850.135088888883</v>
      </c>
      <c r="J49" s="203">
        <f t="shared" si="11"/>
        <v>8.0260420634507001E-2</v>
      </c>
      <c r="K49" s="206">
        <f>I49+K54</f>
        <v>20443.495088888885</v>
      </c>
      <c r="L49" s="203">
        <f t="shared" si="11"/>
        <v>0.5909167450360695</v>
      </c>
    </row>
    <row r="50" spans="2:19">
      <c r="B50" s="211" t="s">
        <v>102</v>
      </c>
      <c r="C50" s="208">
        <f>C48+C49</f>
        <v>51800.444888888887</v>
      </c>
      <c r="D50" s="203" t="s">
        <v>19</v>
      </c>
      <c r="E50" s="208">
        <f>E48+E49</f>
        <v>60553.324888888892</v>
      </c>
      <c r="F50" s="203">
        <f t="shared" si="11"/>
        <v>0.1689730661343698</v>
      </c>
      <c r="G50" s="208">
        <f>G48+G49</f>
        <v>58895.404888888886</v>
      </c>
      <c r="H50" s="203">
        <f t="shared" si="11"/>
        <v>-2.7379503983343101E-2</v>
      </c>
      <c r="I50" s="208">
        <f>I48+I49</f>
        <v>59850.135088888885</v>
      </c>
      <c r="J50" s="203">
        <f t="shared" si="11"/>
        <v>1.6210605934387834E-2</v>
      </c>
      <c r="K50" s="208">
        <f>K48+K49</f>
        <v>67443.495088888885</v>
      </c>
      <c r="L50" s="203">
        <f t="shared" si="11"/>
        <v>0.12687289658949652</v>
      </c>
    </row>
    <row r="51" spans="2:19">
      <c r="B51" s="209" t="s">
        <v>546</v>
      </c>
      <c r="C51" s="208">
        <f>C41+C46+C50</f>
        <v>125300.44488888889</v>
      </c>
      <c r="D51" s="203" t="s">
        <v>19</v>
      </c>
      <c r="E51" s="208">
        <f>E41+E46+E50</f>
        <v>146553.32488888889</v>
      </c>
      <c r="F51" s="203">
        <f t="shared" si="11"/>
        <v>0.16961535945739192</v>
      </c>
      <c r="G51" s="208">
        <f>G41+G46+G50</f>
        <v>141395.40488888888</v>
      </c>
      <c r="H51" s="203">
        <f t="shared" si="11"/>
        <v>-3.5194834398404429E-2</v>
      </c>
      <c r="I51" s="208">
        <f>I41+I46+I50</f>
        <v>153850.13508888887</v>
      </c>
      <c r="J51" s="203">
        <f t="shared" si="11"/>
        <v>8.8084405640955321E-2</v>
      </c>
      <c r="K51" s="208">
        <f>K41+K46+K50</f>
        <v>167443.49508888889</v>
      </c>
      <c r="L51" s="203">
        <f t="shared" si="11"/>
        <v>8.8354553553991133E-2</v>
      </c>
    </row>
    <row r="52" spans="2:19">
      <c r="B52" s="202"/>
      <c r="C52" s="201"/>
      <c r="D52" s="203"/>
      <c r="E52" s="201"/>
      <c r="F52" s="203"/>
      <c r="G52" s="201"/>
      <c r="H52" s="203"/>
      <c r="I52" s="201"/>
      <c r="J52" s="203"/>
      <c r="K52" s="201"/>
      <c r="L52" s="203"/>
    </row>
    <row r="53" spans="2:19">
      <c r="B53" s="180" t="s">
        <v>115</v>
      </c>
      <c r="C53" s="189">
        <v>4000</v>
      </c>
      <c r="D53" s="189"/>
      <c r="E53" s="189">
        <v>4000</v>
      </c>
      <c r="F53" s="189"/>
      <c r="G53" s="189">
        <v>0</v>
      </c>
      <c r="H53" s="189"/>
      <c r="I53" s="189">
        <v>6000</v>
      </c>
      <c r="J53" s="189"/>
      <c r="K53" s="189">
        <v>6000</v>
      </c>
      <c r="L53" s="201"/>
    </row>
    <row r="54" spans="2:19">
      <c r="B54" s="180" t="s">
        <v>116</v>
      </c>
      <c r="C54" s="189">
        <f>C14-C53</f>
        <v>7800.4448888888874</v>
      </c>
      <c r="D54" s="189"/>
      <c r="E54" s="189">
        <f>E14-E53</f>
        <v>5752.880000000001</v>
      </c>
      <c r="F54" s="189"/>
      <c r="G54" s="189">
        <f>G14-G53</f>
        <v>-1657.92</v>
      </c>
      <c r="H54" s="189"/>
      <c r="I54" s="189">
        <f>I14-I53</f>
        <v>954.73019999999451</v>
      </c>
      <c r="J54" s="189"/>
      <c r="K54" s="189">
        <f>K14-K53</f>
        <v>7593.3600000000006</v>
      </c>
    </row>
    <row r="55" spans="2:19">
      <c r="C55" s="189"/>
      <c r="D55" s="189"/>
      <c r="E55" s="189"/>
      <c r="F55" s="189"/>
      <c r="G55" s="189"/>
      <c r="H55" s="189"/>
      <c r="I55" s="189"/>
      <c r="J55" s="189"/>
      <c r="K55" s="189"/>
    </row>
    <row r="56" spans="2:19">
      <c r="B56" s="181" t="s">
        <v>438</v>
      </c>
      <c r="C56" s="188">
        <f>C2</f>
        <v>2020</v>
      </c>
      <c r="D56" s="188"/>
      <c r="E56" s="188">
        <f t="shared" ref="E56:K56" si="12">E2</f>
        <v>2021</v>
      </c>
      <c r="F56" s="188"/>
      <c r="G56" s="188">
        <f t="shared" si="12"/>
        <v>2022</v>
      </c>
      <c r="H56" s="188"/>
      <c r="I56" s="188">
        <f t="shared" si="12"/>
        <v>2023</v>
      </c>
      <c r="J56" s="188"/>
      <c r="K56" s="188">
        <f t="shared" si="12"/>
        <v>2024</v>
      </c>
    </row>
    <row r="57" spans="2:19">
      <c r="B57" s="215" t="s">
        <v>333</v>
      </c>
      <c r="C57" s="213">
        <f>C3</f>
        <v>99000</v>
      </c>
      <c r="D57" s="189"/>
      <c r="E57" s="213">
        <f>E3</f>
        <v>110000</v>
      </c>
      <c r="F57" s="189"/>
      <c r="G57" s="213">
        <f>G3</f>
        <v>90000</v>
      </c>
      <c r="H57" s="189"/>
      <c r="I57" s="213">
        <f>I3</f>
        <v>115000</v>
      </c>
      <c r="J57" s="189"/>
      <c r="K57" s="213">
        <f>K3</f>
        <v>143000</v>
      </c>
    </row>
    <row r="58" spans="2:19">
      <c r="B58" s="215" t="s">
        <v>123</v>
      </c>
      <c r="C58" s="213">
        <f>C4</f>
        <v>-59400</v>
      </c>
      <c r="D58" s="189"/>
      <c r="E58" s="213">
        <f>E4</f>
        <v>-71940</v>
      </c>
      <c r="F58" s="189"/>
      <c r="G58" s="213">
        <f>G4</f>
        <v>-67050</v>
      </c>
      <c r="H58" s="189"/>
      <c r="I58" s="213">
        <f>I4</f>
        <v>-78774.540000000008</v>
      </c>
      <c r="J58" s="189"/>
      <c r="K58" s="213">
        <f>K4</f>
        <v>-92950</v>
      </c>
    </row>
    <row r="59" spans="2:19">
      <c r="B59" s="215" t="s">
        <v>550</v>
      </c>
      <c r="C59" s="216">
        <f>C27/(C57/365)</f>
        <v>55.303030303030297</v>
      </c>
      <c r="D59" s="220"/>
      <c r="E59" s="216">
        <f>(E27+C27)/2/(E57/365)</f>
        <v>66.36363636363636</v>
      </c>
      <c r="F59" s="220"/>
      <c r="G59" s="216">
        <f>(G27+E27)/2/(G57/365)</f>
        <v>77.461111111111109</v>
      </c>
      <c r="H59" s="220"/>
      <c r="I59" s="216">
        <f>(I27+G27)/2/(I57/365)</f>
        <v>46.339130434782604</v>
      </c>
      <c r="J59" s="220"/>
      <c r="K59" s="216">
        <f>(K27+I27)/2/(K57/365)</f>
        <v>45.305944055944053</v>
      </c>
    </row>
    <row r="60" spans="2:19">
      <c r="B60" s="215" t="s">
        <v>551</v>
      </c>
      <c r="C60" s="216">
        <f>C28/(-C58/365)</f>
        <v>122.89562289562289</v>
      </c>
      <c r="E60" s="216">
        <f>(E28+C28)/2/(-E58/365)</f>
        <v>107.81554072838476</v>
      </c>
      <c r="F60" s="220"/>
      <c r="G60" s="216">
        <f>(G28+E28)/2/(-G58/365)</f>
        <v>117.03952274422072</v>
      </c>
      <c r="H60" s="220"/>
      <c r="I60" s="216">
        <f>(I28+G28)/2/(-I58/365)</f>
        <v>105.41159618323381</v>
      </c>
      <c r="J60" s="220"/>
      <c r="K60" s="216">
        <f>(K28+I28)/2/(-K58/365)</f>
        <v>100.13448090371168</v>
      </c>
      <c r="P60" s="184" t="s">
        <v>60</v>
      </c>
      <c r="Q60" s="184" t="s">
        <v>485</v>
      </c>
      <c r="R60" s="184" t="s">
        <v>114</v>
      </c>
      <c r="S60" s="184" t="s">
        <v>549</v>
      </c>
    </row>
    <row r="61" spans="2:19">
      <c r="B61" s="215" t="s">
        <v>552</v>
      </c>
      <c r="C61" s="216">
        <f>C37/(-C58/365)</f>
        <v>70.664983164983155</v>
      </c>
      <c r="E61" s="216">
        <f>(E37+C37)/2/(-E58/365)</f>
        <v>60.884070058381987</v>
      </c>
      <c r="F61" s="220"/>
      <c r="G61" s="216">
        <f>(G37+E37)/2/(-G58/365)</f>
        <v>63.963460104399701</v>
      </c>
      <c r="H61" s="220"/>
      <c r="I61" s="216">
        <f>(I37+G37)/2/(-I58/365)</f>
        <v>52.126613497203529</v>
      </c>
      <c r="J61" s="220"/>
      <c r="K61" s="216">
        <f>(K37+I37)/2/(-K58/365)</f>
        <v>52.030661646046262</v>
      </c>
      <c r="O61" s="184">
        <v>2020</v>
      </c>
      <c r="P61" s="189">
        <f>C71</f>
        <v>53000</v>
      </c>
      <c r="Q61" s="189">
        <f>C73</f>
        <v>51800.444888888887</v>
      </c>
      <c r="R61" s="187">
        <f>C78</f>
        <v>1.5084581525816649</v>
      </c>
      <c r="S61" s="187">
        <f>C79</f>
        <v>2.0410484558404556</v>
      </c>
    </row>
    <row r="62" spans="2:19">
      <c r="B62" s="215" t="s">
        <v>553</v>
      </c>
      <c r="C62" s="216">
        <f>C38/(C57/365)</f>
        <v>18.434343434343432</v>
      </c>
      <c r="E62" s="216">
        <f>(E38+C38)/2/(E57/365)</f>
        <v>18.25</v>
      </c>
      <c r="F62" s="220"/>
      <c r="G62" s="216">
        <f>(G38+E38)/2/(G57/365)</f>
        <v>25.347222222222221</v>
      </c>
      <c r="H62" s="220"/>
      <c r="I62" s="216">
        <f>(I38+G38)/2/(I57/365)</f>
        <v>19.836956521739129</v>
      </c>
      <c r="J62" s="220"/>
      <c r="K62" s="216">
        <f>(K38+I38)/2/(K57/365)</f>
        <v>16.59090909090909</v>
      </c>
      <c r="O62" s="184">
        <v>2021</v>
      </c>
      <c r="P62" s="189">
        <f>E71</f>
        <v>62500</v>
      </c>
      <c r="Q62" s="189">
        <f>E73</f>
        <v>60553.324888888892</v>
      </c>
      <c r="R62" s="187">
        <f>E78</f>
        <v>2.0068653122858833</v>
      </c>
      <c r="S62" s="187">
        <f>E79</f>
        <v>1.886666341880342</v>
      </c>
    </row>
    <row r="63" spans="2:19">
      <c r="B63" s="204" t="s">
        <v>554</v>
      </c>
      <c r="C63" s="218">
        <f>C59+C60-C61-C62</f>
        <v>89.099326599326588</v>
      </c>
      <c r="D63" s="214"/>
      <c r="E63" s="218">
        <f t="shared" ref="E63:K63" si="13">E59+E60-E61-E62</f>
        <v>95.045107033639141</v>
      </c>
      <c r="F63" s="214"/>
      <c r="G63" s="218">
        <f t="shared" si="13"/>
        <v>105.18995152870991</v>
      </c>
      <c r="H63" s="214"/>
      <c r="I63" s="218">
        <f t="shared" si="13"/>
        <v>79.787156599073768</v>
      </c>
      <c r="J63" s="214"/>
      <c r="K63" s="218">
        <f t="shared" si="13"/>
        <v>76.818854222700367</v>
      </c>
      <c r="O63" s="184">
        <v>2022</v>
      </c>
      <c r="P63" s="189">
        <f>G71</f>
        <v>60000</v>
      </c>
      <c r="Q63" s="189">
        <f>G73</f>
        <v>58895.404888888886</v>
      </c>
      <c r="R63" s="187">
        <f>G78</f>
        <v>4.4334326859142612</v>
      </c>
      <c r="S63" s="187">
        <f>G79</f>
        <v>0.99721079703703674</v>
      </c>
    </row>
    <row r="64" spans="2:19">
      <c r="O64" s="184">
        <v>2023</v>
      </c>
      <c r="P64" s="189">
        <f>I71</f>
        <v>69500</v>
      </c>
      <c r="Q64" s="189">
        <f>I73</f>
        <v>59850.135088888885</v>
      </c>
      <c r="R64" s="187">
        <f>I78</f>
        <v>2.3745669541537251</v>
      </c>
      <c r="S64" s="187">
        <f>I79</f>
        <v>1.3289894228663441</v>
      </c>
    </row>
    <row r="65" spans="2:21">
      <c r="B65" s="204" t="s">
        <v>555</v>
      </c>
      <c r="C65" s="194">
        <f>C27+C28-C37-C38</f>
        <v>18500</v>
      </c>
      <c r="D65" s="183"/>
      <c r="E65" s="194">
        <f>E27+E28-E37-E38</f>
        <v>29000</v>
      </c>
      <c r="F65" s="183"/>
      <c r="G65" s="194">
        <f>G27+G28-G37-G38</f>
        <v>16200</v>
      </c>
      <c r="H65" s="183"/>
      <c r="I65" s="194">
        <f>I27+I28-I37-I38</f>
        <v>23500</v>
      </c>
      <c r="J65" s="183"/>
      <c r="K65" s="194">
        <f>K27+K28-K37-K38</f>
        <v>23500</v>
      </c>
      <c r="O65" s="184">
        <v>2024</v>
      </c>
      <c r="P65" s="189">
        <f>K71</f>
        <v>70500</v>
      </c>
      <c r="Q65" s="189">
        <f>K73</f>
        <v>67443.495088888885</v>
      </c>
      <c r="R65" s="187">
        <f>K78</f>
        <v>1.6818686832760597</v>
      </c>
      <c r="S65" s="187">
        <f>K79</f>
        <v>1.2846454452883262</v>
      </c>
    </row>
    <row r="66" spans="2:21">
      <c r="B66" s="204" t="s">
        <v>556</v>
      </c>
      <c r="C66" s="219">
        <f>C65/C57</f>
        <v>0.18686868686868688</v>
      </c>
      <c r="D66" s="221"/>
      <c r="E66" s="219">
        <f t="shared" ref="E66:K66" si="14">E65/E57</f>
        <v>0.26363636363636361</v>
      </c>
      <c r="F66" s="221"/>
      <c r="G66" s="219">
        <f t="shared" si="14"/>
        <v>0.18</v>
      </c>
      <c r="H66" s="221"/>
      <c r="I66" s="219">
        <f t="shared" si="14"/>
        <v>0.20434782608695654</v>
      </c>
      <c r="J66" s="221"/>
      <c r="K66" s="219">
        <f t="shared" si="14"/>
        <v>0.16433566433566432</v>
      </c>
    </row>
    <row r="68" spans="2:21">
      <c r="B68" s="181" t="s">
        <v>438</v>
      </c>
      <c r="C68" s="188">
        <v>2020</v>
      </c>
      <c r="D68" s="188"/>
      <c r="E68" s="188">
        <v>2021</v>
      </c>
      <c r="F68" s="188"/>
      <c r="G68" s="188">
        <v>2022</v>
      </c>
      <c r="H68" s="188"/>
      <c r="I68" s="188">
        <v>2023</v>
      </c>
      <c r="J68" s="188"/>
      <c r="K68" s="188">
        <v>2024</v>
      </c>
      <c r="P68" s="184" t="s">
        <v>579</v>
      </c>
      <c r="Q68" s="184" t="s">
        <v>580</v>
      </c>
      <c r="R68" s="184" t="s">
        <v>581</v>
      </c>
      <c r="S68" s="184" t="s">
        <v>582</v>
      </c>
      <c r="T68" s="184" t="s">
        <v>583</v>
      </c>
    </row>
    <row r="69" spans="2:21" s="181" customFormat="1">
      <c r="B69" s="181" t="s">
        <v>584</v>
      </c>
      <c r="C69" s="188"/>
      <c r="D69" s="188"/>
      <c r="E69" s="188"/>
      <c r="F69" s="188"/>
      <c r="G69" s="188"/>
      <c r="H69" s="188"/>
      <c r="I69" s="188"/>
      <c r="J69" s="188"/>
      <c r="K69" s="188"/>
      <c r="L69" s="184"/>
      <c r="O69" s="184">
        <v>2020</v>
      </c>
      <c r="P69" s="188">
        <f>C65</f>
        <v>18500</v>
      </c>
      <c r="Q69" s="185">
        <f>C66</f>
        <v>0.18686868686868688</v>
      </c>
      <c r="R69" s="214">
        <f>C59</f>
        <v>55.303030303030297</v>
      </c>
      <c r="S69" s="214">
        <f>C60</f>
        <v>122.89562289562289</v>
      </c>
      <c r="T69" s="214">
        <f>C61</f>
        <v>70.664983164983155</v>
      </c>
      <c r="U69" s="183"/>
    </row>
    <row r="70" spans="2:21">
      <c r="B70" s="215" t="s">
        <v>108</v>
      </c>
      <c r="C70" s="213">
        <f>C40+C39+C43+C44-C26</f>
        <v>48199.555111111113</v>
      </c>
      <c r="E70" s="213">
        <f>E40+E39+E43+E44-E26</f>
        <v>60946.675111111108</v>
      </c>
      <c r="G70" s="213">
        <f>G40+G39+G43+G44-G26</f>
        <v>56304.595111111121</v>
      </c>
      <c r="I70" s="213">
        <f>I40+I39+I43+I44-I26</f>
        <v>64649.86491111113</v>
      </c>
      <c r="K70" s="213">
        <f>K40+K39+K43+K44-K26</f>
        <v>65256.504911111115</v>
      </c>
      <c r="O70" s="184">
        <v>2021</v>
      </c>
      <c r="P70" s="188">
        <f>E65</f>
        <v>29000</v>
      </c>
      <c r="Q70" s="185">
        <f>E66</f>
        <v>0.26363636363636361</v>
      </c>
      <c r="R70" s="214">
        <f>E59</f>
        <v>66.36363636363636</v>
      </c>
      <c r="S70" s="214">
        <f>E60</f>
        <v>107.81554072838476</v>
      </c>
      <c r="T70" s="214">
        <f>E61</f>
        <v>60.884070058381987</v>
      </c>
    </row>
    <row r="71" spans="2:21">
      <c r="B71" s="215" t="s">
        <v>557</v>
      </c>
      <c r="C71" s="213">
        <f>C40+C39+C43+C44</f>
        <v>53000</v>
      </c>
      <c r="D71" s="189"/>
      <c r="E71" s="213">
        <f>E40+E39+E43+E44</f>
        <v>62500</v>
      </c>
      <c r="F71" s="189"/>
      <c r="G71" s="213">
        <f>G40+G39+G43+G44</f>
        <v>60000</v>
      </c>
      <c r="H71" s="189"/>
      <c r="I71" s="213">
        <f>I40+I39+I43+I44</f>
        <v>69500</v>
      </c>
      <c r="J71" s="189"/>
      <c r="K71" s="213">
        <f>K40+K39+K43+K44</f>
        <v>70500</v>
      </c>
      <c r="O71" s="184">
        <v>2022</v>
      </c>
      <c r="P71" s="188">
        <f>G65</f>
        <v>16200</v>
      </c>
      <c r="Q71" s="185">
        <f>G66</f>
        <v>0.18</v>
      </c>
      <c r="R71" s="214">
        <f>G59</f>
        <v>77.461111111111109</v>
      </c>
      <c r="S71" s="214">
        <f>G60</f>
        <v>117.03952274422072</v>
      </c>
      <c r="T71" s="214">
        <f>G61</f>
        <v>63.963460104399701</v>
      </c>
    </row>
    <row r="72" spans="2:21">
      <c r="B72" s="215" t="s">
        <v>558</v>
      </c>
      <c r="C72" s="102">
        <f>C71/C75</f>
        <v>0.50572304398317636</v>
      </c>
      <c r="D72" s="193"/>
      <c r="E72" s="102">
        <f t="shared" ref="E72:K72" si="15">E71/E75</f>
        <v>0.50790988424274131</v>
      </c>
      <c r="F72" s="193"/>
      <c r="G72" s="102">
        <f t="shared" si="15"/>
        <v>0.50464523886412349</v>
      </c>
      <c r="H72" s="193"/>
      <c r="I72" s="102">
        <f t="shared" si="15"/>
        <v>0.53730133294596005</v>
      </c>
      <c r="J72" s="193"/>
      <c r="K72" s="102">
        <f t="shared" si="15"/>
        <v>0.51107882944803429</v>
      </c>
      <c r="O72" s="184">
        <v>2023</v>
      </c>
      <c r="P72" s="188">
        <f>I65</f>
        <v>23500</v>
      </c>
      <c r="Q72" s="185">
        <f>I66</f>
        <v>0.20434782608695654</v>
      </c>
      <c r="R72" s="214">
        <f>I59</f>
        <v>46.339130434782604</v>
      </c>
      <c r="S72" s="214">
        <f>I60</f>
        <v>105.41159618323381</v>
      </c>
      <c r="T72" s="214">
        <f>I61</f>
        <v>52.126613497203529</v>
      </c>
    </row>
    <row r="73" spans="2:21">
      <c r="B73" s="215" t="s">
        <v>560</v>
      </c>
      <c r="C73" s="213">
        <f>C50</f>
        <v>51800.444888888887</v>
      </c>
      <c r="D73" s="189"/>
      <c r="E73" s="213">
        <f t="shared" ref="E73:K73" si="16">E50</f>
        <v>60553.324888888892</v>
      </c>
      <c r="F73" s="189"/>
      <c r="G73" s="213">
        <f t="shared" si="16"/>
        <v>58895.404888888886</v>
      </c>
      <c r="H73" s="189"/>
      <c r="I73" s="213">
        <f t="shared" si="16"/>
        <v>59850.135088888885</v>
      </c>
      <c r="J73" s="189"/>
      <c r="K73" s="213">
        <f t="shared" si="16"/>
        <v>67443.495088888885</v>
      </c>
      <c r="O73" s="184">
        <v>2024</v>
      </c>
      <c r="P73" s="188">
        <f>K65</f>
        <v>23500</v>
      </c>
      <c r="Q73" s="185">
        <f>K66</f>
        <v>0.16433566433566432</v>
      </c>
      <c r="R73" s="214">
        <f>K59</f>
        <v>45.305944055944053</v>
      </c>
      <c r="S73" s="214">
        <f>K60</f>
        <v>100.13448090371168</v>
      </c>
      <c r="T73" s="214">
        <f>K61</f>
        <v>52.030661646046262</v>
      </c>
    </row>
    <row r="74" spans="2:21">
      <c r="B74" s="215" t="s">
        <v>559</v>
      </c>
      <c r="C74" s="102">
        <f>C73/C75</f>
        <v>0.4942769560168237</v>
      </c>
      <c r="D74" s="193"/>
      <c r="E74" s="102">
        <f t="shared" ref="E74:K74" si="17">E73/E75</f>
        <v>0.49209011575725864</v>
      </c>
      <c r="F74" s="193"/>
      <c r="G74" s="102">
        <f t="shared" si="17"/>
        <v>0.49535476113587662</v>
      </c>
      <c r="H74" s="193"/>
      <c r="I74" s="102">
        <f t="shared" si="17"/>
        <v>0.46269866705403995</v>
      </c>
      <c r="J74" s="193"/>
      <c r="K74" s="102">
        <f t="shared" si="17"/>
        <v>0.48892117055196571</v>
      </c>
    </row>
    <row r="75" spans="2:21">
      <c r="B75" s="204" t="s">
        <v>460</v>
      </c>
      <c r="C75" s="194">
        <f>C71+C73</f>
        <v>104800.44488888889</v>
      </c>
      <c r="D75" s="188"/>
      <c r="E75" s="194">
        <f t="shared" ref="E75:K75" si="18">E71+E73</f>
        <v>123053.32488888889</v>
      </c>
      <c r="F75" s="188"/>
      <c r="G75" s="194">
        <f t="shared" si="18"/>
        <v>118895.40488888888</v>
      </c>
      <c r="H75" s="188"/>
      <c r="I75" s="194">
        <f t="shared" si="18"/>
        <v>129350.13508888888</v>
      </c>
      <c r="J75" s="188"/>
      <c r="K75" s="194">
        <f t="shared" si="18"/>
        <v>137943.49508888889</v>
      </c>
    </row>
    <row r="77" spans="2:21">
      <c r="B77" s="215" t="s">
        <v>561</v>
      </c>
      <c r="C77" s="226">
        <f>C70/C50</f>
        <v>0.93048535035748003</v>
      </c>
      <c r="D77" s="187"/>
      <c r="E77" s="226">
        <f>E70/E50</f>
        <v>1.0064959310317638</v>
      </c>
      <c r="F77" s="187"/>
      <c r="G77" s="226">
        <f>G70/G50</f>
        <v>0.95600998443485452</v>
      </c>
      <c r="H77" s="187"/>
      <c r="I77" s="226">
        <f>I70/I50</f>
        <v>1.0801958059926469</v>
      </c>
      <c r="J77" s="187"/>
      <c r="K77" s="226">
        <f>K70/K50</f>
        <v>0.96757300055557072</v>
      </c>
    </row>
    <row r="78" spans="2:21">
      <c r="B78" s="215" t="s">
        <v>114</v>
      </c>
      <c r="C78" s="226">
        <f>C70/C20</f>
        <v>1.5084581525816649</v>
      </c>
      <c r="D78" s="187"/>
      <c r="E78" s="226">
        <f>E70/E20</f>
        <v>2.0068653122858833</v>
      </c>
      <c r="F78" s="187"/>
      <c r="G78" s="226">
        <f>G70/G20</f>
        <v>4.4334326859142612</v>
      </c>
      <c r="H78" s="187"/>
      <c r="I78" s="226">
        <f>I70/I20</f>
        <v>2.3745669541537251</v>
      </c>
      <c r="J78" s="187"/>
      <c r="K78" s="226">
        <f>K70/K20</f>
        <v>1.6818686832760597</v>
      </c>
    </row>
    <row r="79" spans="2:21">
      <c r="B79" s="215" t="s">
        <v>549</v>
      </c>
      <c r="C79" s="226">
        <f>C29/C41</f>
        <v>2.0410484558404556</v>
      </c>
      <c r="D79" s="187"/>
      <c r="E79" s="226">
        <f>E29/E41</f>
        <v>1.886666341880342</v>
      </c>
      <c r="F79" s="187"/>
      <c r="G79" s="226">
        <f>G29/G41</f>
        <v>0.99721079703703674</v>
      </c>
      <c r="H79" s="187"/>
      <c r="I79" s="226">
        <f>I29/I41</f>
        <v>1.3289894228663441</v>
      </c>
      <c r="J79" s="187"/>
      <c r="K79" s="226">
        <f>K29/K41</f>
        <v>1.2846454452883262</v>
      </c>
    </row>
    <row r="80" spans="2:21">
      <c r="B80" s="215" t="s">
        <v>562</v>
      </c>
      <c r="C80" s="226">
        <f>(C29-C28)/C41</f>
        <v>1.01540743019943</v>
      </c>
      <c r="D80" s="187"/>
      <c r="E80" s="226">
        <f>(E29-E28)/E41</f>
        <v>1.0212817264957266</v>
      </c>
      <c r="F80" s="187"/>
      <c r="G80" s="226">
        <f>(G29-G28)/G41</f>
        <v>0.45054413037037011</v>
      </c>
      <c r="H80" s="187"/>
      <c r="I80" s="226">
        <f>(I29-I28)/I41</f>
        <v>0.60435174170692374</v>
      </c>
      <c r="J80" s="187"/>
      <c r="K80" s="226">
        <f>(K29-K28)/K41</f>
        <v>0.62641759718706036</v>
      </c>
    </row>
    <row r="82" spans="2:21">
      <c r="B82" s="215" t="s">
        <v>80</v>
      </c>
      <c r="C82" s="213">
        <f>C9</f>
        <v>24452.861952861953</v>
      </c>
      <c r="D82" s="189"/>
      <c r="E82" s="213">
        <f t="shared" ref="E82:K82" si="19">E9</f>
        <v>21869.090909090912</v>
      </c>
      <c r="F82" s="189"/>
      <c r="G82" s="213">
        <f t="shared" si="19"/>
        <v>3950</v>
      </c>
      <c r="H82" s="189"/>
      <c r="I82" s="213">
        <f t="shared" si="19"/>
        <v>18225.959999999992</v>
      </c>
      <c r="J82" s="189"/>
      <c r="K82" s="213">
        <f t="shared" si="19"/>
        <v>29050</v>
      </c>
    </row>
    <row r="83" spans="2:21">
      <c r="B83" s="215" t="s">
        <v>563</v>
      </c>
      <c r="C83" s="213">
        <f>C82*34%</f>
        <v>8313.9730639730642</v>
      </c>
      <c r="D83" s="189"/>
      <c r="E83" s="213">
        <f t="shared" ref="E83:K83" si="20">E82*34%</f>
        <v>7435.4909090909105</v>
      </c>
      <c r="F83" s="189"/>
      <c r="G83" s="213">
        <f t="shared" si="20"/>
        <v>1343</v>
      </c>
      <c r="H83" s="189"/>
      <c r="I83" s="213">
        <f t="shared" si="20"/>
        <v>6196.8263999999981</v>
      </c>
      <c r="J83" s="189"/>
      <c r="K83" s="213">
        <f t="shared" si="20"/>
        <v>9877</v>
      </c>
    </row>
    <row r="84" spans="2:21">
      <c r="B84" s="215" t="s">
        <v>435</v>
      </c>
      <c r="C84" s="213">
        <f>C82-C83</f>
        <v>16138.888888888889</v>
      </c>
      <c r="D84" s="189"/>
      <c r="E84" s="213">
        <f t="shared" ref="E84:K84" si="21">E82-E83</f>
        <v>14433.600000000002</v>
      </c>
      <c r="F84" s="189"/>
      <c r="G84" s="213">
        <f t="shared" si="21"/>
        <v>2607</v>
      </c>
      <c r="H84" s="189"/>
      <c r="I84" s="213">
        <f t="shared" si="21"/>
        <v>12029.133599999994</v>
      </c>
      <c r="J84" s="189"/>
      <c r="K84" s="213">
        <f t="shared" si="21"/>
        <v>19173</v>
      </c>
    </row>
    <row r="85" spans="2:21">
      <c r="B85" s="215" t="s">
        <v>564</v>
      </c>
      <c r="C85" s="102">
        <f>C84/C3</f>
        <v>0.16301907968574636</v>
      </c>
      <c r="D85" s="193"/>
      <c r="E85" s="102">
        <f>E84/E3</f>
        <v>0.13121454545454547</v>
      </c>
      <c r="F85" s="193"/>
      <c r="G85" s="102">
        <f>G84/G3</f>
        <v>2.8966666666666668E-2</v>
      </c>
      <c r="H85" s="193"/>
      <c r="I85" s="102">
        <f>I84/I3</f>
        <v>0.10460116173913038</v>
      </c>
      <c r="J85" s="193"/>
      <c r="K85" s="102">
        <f>K84/K3</f>
        <v>0.13407692307692307</v>
      </c>
    </row>
    <row r="86" spans="2:21">
      <c r="B86" s="215" t="s">
        <v>565</v>
      </c>
      <c r="C86" s="213">
        <f>C75</f>
        <v>104800.44488888889</v>
      </c>
      <c r="E86" s="213">
        <f>(C75+E75)/2</f>
        <v>113926.88488888889</v>
      </c>
      <c r="F86" s="189"/>
      <c r="G86" s="213">
        <f>(E75+G75)/2</f>
        <v>120974.36488888889</v>
      </c>
      <c r="H86" s="189"/>
      <c r="I86" s="213">
        <f>(G75+I75)/2</f>
        <v>124122.76998888887</v>
      </c>
      <c r="J86" s="189"/>
      <c r="K86" s="213">
        <f>(I75+K75)/2</f>
        <v>133646.81508888889</v>
      </c>
    </row>
    <row r="88" spans="2:21" s="181" customFormat="1">
      <c r="B88" s="204" t="s">
        <v>440</v>
      </c>
      <c r="C88" s="219">
        <f>C84/C86</f>
        <v>0.15399637764896512</v>
      </c>
      <c r="D88" s="192"/>
      <c r="E88" s="219">
        <f t="shared" ref="E88:K88" si="22">E84/E86</f>
        <v>0.12669178143575915</v>
      </c>
      <c r="F88" s="192"/>
      <c r="G88" s="219">
        <f t="shared" si="22"/>
        <v>2.1550020141824649E-2</v>
      </c>
      <c r="H88" s="192"/>
      <c r="I88" s="219">
        <f t="shared" si="22"/>
        <v>9.6913190070418251E-2</v>
      </c>
      <c r="J88" s="192"/>
      <c r="K88" s="219">
        <f t="shared" si="22"/>
        <v>0.14346020881416427</v>
      </c>
      <c r="L88" s="183"/>
      <c r="O88" s="183"/>
      <c r="P88" s="183"/>
      <c r="Q88" s="183"/>
      <c r="R88" s="183"/>
      <c r="S88" s="183"/>
      <c r="T88" s="183"/>
      <c r="U88" s="183"/>
    </row>
    <row r="89" spans="2:21" s="181" customFormat="1">
      <c r="B89" s="204" t="s">
        <v>7</v>
      </c>
      <c r="C89" s="225">
        <f>C117</f>
        <v>0.11772888872151141</v>
      </c>
      <c r="D89" s="185"/>
      <c r="E89" s="225">
        <f>E117</f>
        <v>0.1175584245232783</v>
      </c>
      <c r="F89" s="185"/>
      <c r="G89" s="225">
        <f>G117</f>
        <v>0.11781290363054159</v>
      </c>
      <c r="H89" s="185"/>
      <c r="I89" s="225">
        <f>I117</f>
        <v>0.11526736109686241</v>
      </c>
      <c r="J89" s="185"/>
      <c r="K89" s="225">
        <f>K117</f>
        <v>0.11731140524452573</v>
      </c>
      <c r="L89" s="183"/>
      <c r="O89" s="183"/>
      <c r="P89" s="183"/>
      <c r="Q89" s="183"/>
      <c r="R89" s="183"/>
      <c r="S89" s="183"/>
      <c r="T89" s="183"/>
      <c r="U89" s="183"/>
    </row>
    <row r="90" spans="2:21">
      <c r="B90" s="204" t="s">
        <v>578</v>
      </c>
      <c r="C90" s="225">
        <f>C88-C89</f>
        <v>3.6267488927453712E-2</v>
      </c>
      <c r="D90" s="183"/>
      <c r="E90" s="225">
        <f>E88-E89</f>
        <v>9.13335691248085E-3</v>
      </c>
      <c r="F90" s="183"/>
      <c r="G90" s="225">
        <f>G88-G89</f>
        <v>-9.6262883488716935E-2</v>
      </c>
      <c r="H90" s="183"/>
      <c r="I90" s="225">
        <f>I88-I89</f>
        <v>-1.8354171026444155E-2</v>
      </c>
      <c r="J90" s="183"/>
      <c r="K90" s="225">
        <f>K88-K89</f>
        <v>2.6148803569638543E-2</v>
      </c>
    </row>
    <row r="92" spans="2:21">
      <c r="B92" s="181" t="s">
        <v>585</v>
      </c>
    </row>
    <row r="93" spans="2:21">
      <c r="B93" s="215" t="s">
        <v>88</v>
      </c>
      <c r="C93" s="213">
        <f>C14</f>
        <v>11800.444888888887</v>
      </c>
      <c r="E93" s="213">
        <f>E14</f>
        <v>9752.880000000001</v>
      </c>
      <c r="G93" s="213">
        <f>G14</f>
        <v>-1657.92</v>
      </c>
      <c r="I93" s="213">
        <f>I14</f>
        <v>6954.7301999999945</v>
      </c>
      <c r="K93" s="213">
        <f>K14</f>
        <v>13593.36</v>
      </c>
      <c r="P93" s="184" t="s">
        <v>440</v>
      </c>
      <c r="Q93" s="184" t="s">
        <v>7</v>
      </c>
      <c r="R93" s="184" t="s">
        <v>151</v>
      </c>
      <c r="S93" s="184" t="s">
        <v>503</v>
      </c>
    </row>
    <row r="94" spans="2:21">
      <c r="B94" s="215" t="s">
        <v>586</v>
      </c>
      <c r="C94" s="213">
        <f>C50</f>
        <v>51800.444888888887</v>
      </c>
      <c r="E94" s="213">
        <f>(E50+C50)/2</f>
        <v>56176.88488888889</v>
      </c>
      <c r="G94" s="213">
        <f>(G50+E50)/2</f>
        <v>59724.364888888886</v>
      </c>
      <c r="I94" s="213">
        <f>(I50+G50)/2</f>
        <v>59372.769988888889</v>
      </c>
      <c r="K94" s="213">
        <f>(K50+I50)/2</f>
        <v>63646.815088888885</v>
      </c>
      <c r="O94" s="184">
        <v>2020</v>
      </c>
      <c r="P94" s="186">
        <f>C88</f>
        <v>0.15399637764896512</v>
      </c>
      <c r="Q94" s="186">
        <f>C89</f>
        <v>0.11772888872151141</v>
      </c>
      <c r="R94" s="186">
        <f>C95</f>
        <v>0.22780585985700799</v>
      </c>
      <c r="S94" s="186">
        <f>C96</f>
        <v>0.15715000000000001</v>
      </c>
    </row>
    <row r="95" spans="2:21">
      <c r="B95" s="204" t="s">
        <v>151</v>
      </c>
      <c r="C95" s="219">
        <f>C93/C94</f>
        <v>0.22780585985700799</v>
      </c>
      <c r="D95" s="183"/>
      <c r="E95" s="219">
        <f>E93/E94</f>
        <v>0.17361019606711947</v>
      </c>
      <c r="F95" s="183"/>
      <c r="G95" s="219">
        <f>G93/G94</f>
        <v>-2.7759524995944147E-2</v>
      </c>
      <c r="H95" s="183"/>
      <c r="I95" s="219">
        <f>I93/I94</f>
        <v>0.11713669753493922</v>
      </c>
      <c r="J95" s="183"/>
      <c r="K95" s="219">
        <f>K93/K94</f>
        <v>0.21357486593815525</v>
      </c>
      <c r="O95" s="184">
        <v>2021</v>
      </c>
      <c r="P95" s="186">
        <f>E88</f>
        <v>0.12669178143575915</v>
      </c>
      <c r="Q95" s="186">
        <f>E89</f>
        <v>0.1175584245232783</v>
      </c>
      <c r="R95" s="186">
        <f>E95</f>
        <v>0.17361019606711947</v>
      </c>
      <c r="S95" s="186">
        <f>S94</f>
        <v>0.15715000000000001</v>
      </c>
    </row>
    <row r="96" spans="2:21">
      <c r="B96" s="215" t="s">
        <v>503</v>
      </c>
      <c r="C96" s="223">
        <f>C108</f>
        <v>0.15715000000000001</v>
      </c>
      <c r="E96" s="223">
        <f>E108</f>
        <v>0.15715000000000001</v>
      </c>
      <c r="G96" s="223">
        <f>G108</f>
        <v>0.15715000000000001</v>
      </c>
      <c r="I96" s="223">
        <f>I108</f>
        <v>0.15715000000000001</v>
      </c>
      <c r="K96" s="223">
        <f>K108</f>
        <v>0.15715000000000001</v>
      </c>
      <c r="O96" s="184">
        <v>2022</v>
      </c>
      <c r="P96" s="186">
        <f>G88</f>
        <v>2.1550020141824649E-2</v>
      </c>
      <c r="Q96" s="186">
        <f>G89</f>
        <v>0.11781290363054159</v>
      </c>
      <c r="R96" s="186">
        <f>G95</f>
        <v>-2.7759524995944147E-2</v>
      </c>
      <c r="S96" s="186">
        <f t="shared" ref="S96:S98" si="23">S95</f>
        <v>0.15715000000000001</v>
      </c>
    </row>
    <row r="97" spans="2:21">
      <c r="B97" s="204" t="s">
        <v>587</v>
      </c>
      <c r="C97" s="225">
        <f>C95-C96</f>
        <v>7.065585985700798E-2</v>
      </c>
      <c r="D97" s="183"/>
      <c r="E97" s="225">
        <f>E95-E96</f>
        <v>1.6460196067119459E-2</v>
      </c>
      <c r="F97" s="183"/>
      <c r="G97" s="225">
        <f>G95-G96</f>
        <v>-0.18490952499594415</v>
      </c>
      <c r="H97" s="183"/>
      <c r="I97" s="225">
        <f>I95-I96</f>
        <v>-4.0013302465060796E-2</v>
      </c>
      <c r="J97" s="183"/>
      <c r="K97" s="225">
        <f>K95-K96</f>
        <v>5.6424865938155239E-2</v>
      </c>
      <c r="O97" s="184">
        <v>2023</v>
      </c>
      <c r="P97" s="186">
        <f>I88</f>
        <v>9.6913190070418251E-2</v>
      </c>
      <c r="Q97" s="186">
        <f>I89</f>
        <v>0.11526736109686241</v>
      </c>
      <c r="R97" s="186">
        <f>I95</f>
        <v>0.11713669753493922</v>
      </c>
      <c r="S97" s="186">
        <f t="shared" si="23"/>
        <v>0.15715000000000001</v>
      </c>
    </row>
    <row r="98" spans="2:21">
      <c r="O98" s="184">
        <v>2024</v>
      </c>
      <c r="P98" s="186">
        <f>K88</f>
        <v>0.14346020881416427</v>
      </c>
      <c r="Q98" s="186">
        <f>K89</f>
        <v>0.11731140524452573</v>
      </c>
      <c r="R98" s="186">
        <f>K95</f>
        <v>0.21357486593815525</v>
      </c>
      <c r="S98" s="186">
        <f t="shared" si="23"/>
        <v>0.15715000000000001</v>
      </c>
    </row>
    <row r="99" spans="2:21">
      <c r="B99" s="181" t="s">
        <v>438</v>
      </c>
      <c r="C99" s="188">
        <v>2020</v>
      </c>
      <c r="D99" s="188"/>
      <c r="E99" s="188">
        <v>2021</v>
      </c>
      <c r="F99" s="188"/>
      <c r="G99" s="188">
        <v>2022</v>
      </c>
      <c r="H99" s="188"/>
      <c r="I99" s="188">
        <v>2023</v>
      </c>
      <c r="J99" s="188"/>
      <c r="K99" s="188">
        <v>2024</v>
      </c>
    </row>
    <row r="100" spans="2:21">
      <c r="B100" s="181" t="s">
        <v>569</v>
      </c>
    </row>
    <row r="101" spans="2:21">
      <c r="B101" s="215" t="s">
        <v>33</v>
      </c>
      <c r="C101" s="223">
        <f>C72</f>
        <v>0.50572304398317636</v>
      </c>
      <c r="D101" s="186"/>
      <c r="E101" s="223">
        <f>E72</f>
        <v>0.50790988424274131</v>
      </c>
      <c r="F101" s="186"/>
      <c r="G101" s="223">
        <f>G72</f>
        <v>0.50464523886412349</v>
      </c>
      <c r="H101" s="186"/>
      <c r="I101" s="223">
        <f>I72</f>
        <v>0.53730133294596005</v>
      </c>
      <c r="J101" s="186"/>
      <c r="K101" s="223">
        <f>K72</f>
        <v>0.51107882944803429</v>
      </c>
    </row>
    <row r="102" spans="2:21">
      <c r="B102" s="205" t="s">
        <v>566</v>
      </c>
      <c r="C102" s="223">
        <v>0.12</v>
      </c>
      <c r="D102" s="186"/>
      <c r="E102" s="223">
        <v>0.12</v>
      </c>
      <c r="F102" s="186"/>
      <c r="G102" s="223">
        <v>0.12</v>
      </c>
      <c r="H102" s="186"/>
      <c r="I102" s="223">
        <v>0.12</v>
      </c>
      <c r="J102" s="186"/>
      <c r="K102" s="223">
        <v>0.12</v>
      </c>
    </row>
    <row r="103" spans="2:21">
      <c r="B103" s="205" t="s">
        <v>567</v>
      </c>
      <c r="C103" s="224">
        <v>0.34</v>
      </c>
      <c r="D103" s="222"/>
      <c r="E103" s="224">
        <v>0.34</v>
      </c>
      <c r="F103" s="222"/>
      <c r="G103" s="224">
        <v>0.34</v>
      </c>
      <c r="H103" s="222"/>
      <c r="I103" s="224">
        <v>0.34</v>
      </c>
      <c r="J103" s="222"/>
      <c r="K103" s="224">
        <v>0.34</v>
      </c>
    </row>
    <row r="104" spans="2:21">
      <c r="B104" s="204" t="s">
        <v>568</v>
      </c>
      <c r="C104" s="225">
        <f>C102*(1-C103)</f>
        <v>7.9199999999999993E-2</v>
      </c>
      <c r="D104" s="185"/>
      <c r="E104" s="225">
        <f>E102*(1-E103)</f>
        <v>7.9199999999999993E-2</v>
      </c>
      <c r="F104" s="185"/>
      <c r="G104" s="225">
        <f>G102*(1-G103)</f>
        <v>7.9199999999999993E-2</v>
      </c>
      <c r="H104" s="185"/>
      <c r="I104" s="225">
        <f>I102*(1-I103)</f>
        <v>7.9199999999999993E-2</v>
      </c>
      <c r="J104" s="185"/>
      <c r="K104" s="225">
        <f>K102*(1-K103)</f>
        <v>7.9199999999999993E-2</v>
      </c>
    </row>
    <row r="106" spans="2:21">
      <c r="B106" s="181" t="s">
        <v>570</v>
      </c>
    </row>
    <row r="107" spans="2:21">
      <c r="B107" s="215" t="s">
        <v>31</v>
      </c>
      <c r="C107" s="223">
        <f>C74</f>
        <v>0.4942769560168237</v>
      </c>
      <c r="D107" s="186"/>
      <c r="E107" s="223">
        <f>E74</f>
        <v>0.49209011575725864</v>
      </c>
      <c r="F107" s="186"/>
      <c r="G107" s="223">
        <f>G74</f>
        <v>0.49535476113587662</v>
      </c>
      <c r="H107" s="186"/>
      <c r="I107" s="223">
        <f>I74</f>
        <v>0.46269866705403995</v>
      </c>
      <c r="J107" s="186"/>
      <c r="K107" s="223">
        <f>K74</f>
        <v>0.48892117055196571</v>
      </c>
    </row>
    <row r="108" spans="2:21">
      <c r="B108" s="204" t="s">
        <v>571</v>
      </c>
      <c r="C108" s="225">
        <f>C109+C111*C110+C112+C113+C114-C115</f>
        <v>0.15715000000000001</v>
      </c>
      <c r="D108" s="185"/>
      <c r="E108" s="225">
        <f>E109+E111*E110+E112+E113+E114-E115</f>
        <v>0.15715000000000001</v>
      </c>
      <c r="F108" s="185"/>
      <c r="G108" s="225">
        <f>G109+G111*G110+G112+G113+G114-G115</f>
        <v>0.15715000000000001</v>
      </c>
      <c r="H108" s="185"/>
      <c r="I108" s="225">
        <f>I109+I111*I110+I112+I113+I114-I115</f>
        <v>0.15715000000000001</v>
      </c>
      <c r="J108" s="185"/>
      <c r="K108" s="225">
        <f>K109+K111*K110+K112+K113+K114-K115</f>
        <v>0.15715000000000001</v>
      </c>
    </row>
    <row r="109" spans="2:21" s="181" customFormat="1">
      <c r="B109" s="205" t="s">
        <v>572</v>
      </c>
      <c r="C109" s="223">
        <v>0.02</v>
      </c>
      <c r="D109" s="186"/>
      <c r="E109" s="223">
        <v>0.02</v>
      </c>
      <c r="F109" s="186"/>
      <c r="G109" s="223">
        <v>0.02</v>
      </c>
      <c r="H109" s="186"/>
      <c r="I109" s="223">
        <v>0.02</v>
      </c>
      <c r="J109" s="186"/>
      <c r="K109" s="223">
        <v>0.02</v>
      </c>
      <c r="L109" s="184"/>
      <c r="O109" s="183"/>
      <c r="P109" s="183"/>
      <c r="Q109" s="183"/>
      <c r="R109" s="183"/>
      <c r="S109" s="183"/>
      <c r="T109" s="183"/>
      <c r="U109" s="183"/>
    </row>
    <row r="110" spans="2:21">
      <c r="B110" s="205" t="s">
        <v>573</v>
      </c>
      <c r="C110" s="223">
        <v>5.5E-2</v>
      </c>
      <c r="D110" s="186"/>
      <c r="E110" s="223">
        <v>5.5E-2</v>
      </c>
      <c r="F110" s="186"/>
      <c r="G110" s="223">
        <v>5.5E-2</v>
      </c>
      <c r="H110" s="186"/>
      <c r="I110" s="223">
        <v>5.5E-2</v>
      </c>
      <c r="J110" s="186"/>
      <c r="K110" s="223">
        <v>5.5E-2</v>
      </c>
    </row>
    <row r="111" spans="2:21">
      <c r="B111" s="205" t="s">
        <v>574</v>
      </c>
      <c r="C111" s="217">
        <v>1.1299999999999999</v>
      </c>
      <c r="E111" s="217">
        <v>1.1299999999999999</v>
      </c>
      <c r="G111" s="217">
        <v>1.1299999999999999</v>
      </c>
      <c r="I111" s="217">
        <v>1.1299999999999999</v>
      </c>
      <c r="K111" s="217">
        <v>1.1299999999999999</v>
      </c>
    </row>
    <row r="112" spans="2:21">
      <c r="B112" s="205" t="s">
        <v>167</v>
      </c>
      <c r="C112" s="223">
        <v>0.02</v>
      </c>
      <c r="D112" s="186"/>
      <c r="E112" s="223">
        <v>0.02</v>
      </c>
      <c r="F112" s="186"/>
      <c r="G112" s="223">
        <v>0.02</v>
      </c>
      <c r="H112" s="186"/>
      <c r="I112" s="223">
        <v>0.02</v>
      </c>
      <c r="J112" s="186"/>
      <c r="K112" s="223">
        <v>0.02</v>
      </c>
    </row>
    <row r="113" spans="2:11">
      <c r="B113" s="205" t="s">
        <v>404</v>
      </c>
      <c r="C113" s="223">
        <v>0.04</v>
      </c>
      <c r="D113" s="186"/>
      <c r="E113" s="223">
        <v>0.04</v>
      </c>
      <c r="F113" s="186"/>
      <c r="G113" s="223">
        <v>0.04</v>
      </c>
      <c r="H113" s="186"/>
      <c r="I113" s="223">
        <v>0.04</v>
      </c>
      <c r="J113" s="186"/>
      <c r="K113" s="223">
        <v>0.04</v>
      </c>
    </row>
    <row r="114" spans="2:11">
      <c r="B114" s="205" t="s">
        <v>575</v>
      </c>
      <c r="C114" s="223">
        <v>0.03</v>
      </c>
      <c r="D114" s="186"/>
      <c r="E114" s="223">
        <v>0.03</v>
      </c>
      <c r="F114" s="186"/>
      <c r="G114" s="223">
        <v>0.03</v>
      </c>
      <c r="H114" s="186"/>
      <c r="I114" s="223">
        <v>0.03</v>
      </c>
      <c r="J114" s="186"/>
      <c r="K114" s="223">
        <v>0.03</v>
      </c>
    </row>
    <row r="115" spans="2:11">
      <c r="B115" s="205" t="s">
        <v>576</v>
      </c>
      <c r="C115" s="223">
        <v>1.4999999999999999E-2</v>
      </c>
      <c r="D115" s="186"/>
      <c r="E115" s="223">
        <v>1.4999999999999999E-2</v>
      </c>
      <c r="F115" s="186"/>
      <c r="G115" s="223">
        <v>1.4999999999999999E-2</v>
      </c>
      <c r="H115" s="186"/>
      <c r="I115" s="223">
        <v>1.4999999999999999E-2</v>
      </c>
      <c r="J115" s="186"/>
      <c r="K115" s="223">
        <v>1.4999999999999999E-2</v>
      </c>
    </row>
    <row r="117" spans="2:11">
      <c r="B117" s="204" t="s">
        <v>577</v>
      </c>
      <c r="C117" s="225">
        <f>C101*C104+C108*C107</f>
        <v>0.11772888872151141</v>
      </c>
      <c r="D117" s="185"/>
      <c r="E117" s="225">
        <f>E101*E104+E108*E107</f>
        <v>0.1175584245232783</v>
      </c>
      <c r="F117" s="185"/>
      <c r="G117" s="225">
        <f>G101*G104+G108*G107</f>
        <v>0.11781290363054159</v>
      </c>
      <c r="H117" s="185"/>
      <c r="I117" s="225">
        <f>I101*I104+I108*I107</f>
        <v>0.11526736109686241</v>
      </c>
      <c r="J117" s="185"/>
      <c r="K117" s="225">
        <f>K101*K104+K108*K107</f>
        <v>0.11731140524452573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C80E7-8BC8-4116-BF09-6AC5C23AABE0}">
  <sheetPr>
    <pageSetUpPr fitToPage="1"/>
  </sheetPr>
  <dimension ref="A1:T81"/>
  <sheetViews>
    <sheetView showGridLines="0" zoomScale="130" zoomScaleNormal="130" workbookViewId="0">
      <selection activeCell="A16" sqref="A16"/>
    </sheetView>
  </sheetViews>
  <sheetFormatPr defaultColWidth="10.625" defaultRowHeight="13.5"/>
  <cols>
    <col min="1" max="1" width="33.25" style="232" bestFit="1" customWidth="1"/>
    <col min="2" max="8" width="10.625" style="231" customWidth="1"/>
    <col min="9" max="16" width="10.625" style="232"/>
    <col min="17" max="17" width="19.625" style="232" bestFit="1" customWidth="1"/>
    <col min="18" max="19" width="10.625" style="231"/>
    <col min="20" max="16384" width="10.625" style="232"/>
  </cols>
  <sheetData>
    <row r="1" spans="1:20">
      <c r="A1" s="230" t="s">
        <v>588</v>
      </c>
      <c r="Q1" s="230"/>
      <c r="R1" s="233" t="s">
        <v>605</v>
      </c>
      <c r="S1" s="233" t="s">
        <v>606</v>
      </c>
    </row>
    <row r="2" spans="1:20">
      <c r="A2" s="600" t="s">
        <v>589</v>
      </c>
      <c r="B2" s="600"/>
      <c r="C2" s="600"/>
      <c r="D2" s="600"/>
      <c r="E2" s="600"/>
      <c r="J2" s="230" t="s">
        <v>74</v>
      </c>
      <c r="Q2" s="230"/>
      <c r="R2" s="233" t="s">
        <v>604</v>
      </c>
      <c r="S2" s="233" t="s">
        <v>129</v>
      </c>
    </row>
    <row r="3" spans="1:20">
      <c r="F3" s="601" t="s">
        <v>590</v>
      </c>
      <c r="G3" s="601"/>
      <c r="H3" s="601"/>
      <c r="J3" s="232" t="s">
        <v>117</v>
      </c>
      <c r="Q3" s="234" t="s">
        <v>608</v>
      </c>
      <c r="R3" s="235">
        <v>133.30000000000001</v>
      </c>
      <c r="S3" s="235">
        <v>192.3</v>
      </c>
    </row>
    <row r="4" spans="1:20">
      <c r="A4" s="230" t="s">
        <v>612</v>
      </c>
      <c r="B4" s="235">
        <v>2021</v>
      </c>
      <c r="C4" s="235">
        <v>2022</v>
      </c>
      <c r="D4" s="235">
        <v>2023</v>
      </c>
      <c r="E4" s="235" t="s">
        <v>604</v>
      </c>
      <c r="F4" s="235" t="s">
        <v>129</v>
      </c>
      <c r="G4" s="235" t="s">
        <v>137</v>
      </c>
      <c r="H4" s="235" t="s">
        <v>138</v>
      </c>
      <c r="K4" s="232" t="s">
        <v>118</v>
      </c>
      <c r="M4" s="232">
        <v>90</v>
      </c>
      <c r="N4" s="232" t="s">
        <v>119</v>
      </c>
      <c r="O4" s="236">
        <v>0.192</v>
      </c>
      <c r="Q4" s="237" t="s">
        <v>109</v>
      </c>
      <c r="R4" s="238">
        <v>81.599999999999994</v>
      </c>
      <c r="S4" s="238">
        <v>90</v>
      </c>
    </row>
    <row r="5" spans="1:20">
      <c r="A5" s="234" t="s">
        <v>120</v>
      </c>
      <c r="B5" s="253">
        <v>510</v>
      </c>
      <c r="C5" s="253">
        <v>600</v>
      </c>
      <c r="D5" s="253">
        <v>750</v>
      </c>
      <c r="E5" s="253">
        <v>1000</v>
      </c>
      <c r="F5" s="253">
        <f>E5</f>
        <v>1000</v>
      </c>
      <c r="G5" s="253">
        <f>F5</f>
        <v>1000</v>
      </c>
      <c r="H5" s="253">
        <f>G5</f>
        <v>1000</v>
      </c>
      <c r="I5" s="228">
        <f>E5/D5-1</f>
        <v>0.33333333333333326</v>
      </c>
      <c r="K5" s="232" t="s">
        <v>121</v>
      </c>
      <c r="M5" s="232">
        <v>45</v>
      </c>
      <c r="N5" s="232" t="s">
        <v>122</v>
      </c>
      <c r="Q5" s="237" t="s">
        <v>112</v>
      </c>
      <c r="R5" s="238">
        <v>38.799999999999997</v>
      </c>
      <c r="S5" s="238">
        <v>45</v>
      </c>
    </row>
    <row r="6" spans="1:20">
      <c r="A6" s="237" t="s">
        <v>123</v>
      </c>
      <c r="B6" s="254">
        <f>-(B5-B7)</f>
        <v>-420.75</v>
      </c>
      <c r="C6" s="254">
        <f>-(C5-C7)</f>
        <v>-501</v>
      </c>
      <c r="D6" s="254">
        <f>-(D5-D7)</f>
        <v>-630</v>
      </c>
      <c r="E6" s="254">
        <f>-(E5-E7)</f>
        <v>-835</v>
      </c>
      <c r="F6" s="254">
        <f>-(F5-F7)</f>
        <v>-835</v>
      </c>
      <c r="G6" s="254">
        <f>F6-(N8*F25)</f>
        <v>-847.32876712328766</v>
      </c>
      <c r="H6" s="254">
        <f>G6-(N10*G26)</f>
        <v>-857.6232876712329</v>
      </c>
      <c r="K6" s="232" t="s">
        <v>124</v>
      </c>
      <c r="M6" s="232">
        <v>60</v>
      </c>
      <c r="N6" s="232" t="s">
        <v>125</v>
      </c>
      <c r="Q6" s="237" t="s">
        <v>134</v>
      </c>
      <c r="R6" s="238">
        <v>69.5</v>
      </c>
      <c r="S6" s="238">
        <v>60</v>
      </c>
    </row>
    <row r="7" spans="1:20">
      <c r="A7" s="237" t="s">
        <v>430</v>
      </c>
      <c r="B7" s="254">
        <f>B5*B8</f>
        <v>89.25</v>
      </c>
      <c r="C7" s="254">
        <f>C5*C8</f>
        <v>99</v>
      </c>
      <c r="D7" s="254">
        <f>D5*D8</f>
        <v>120</v>
      </c>
      <c r="E7" s="254">
        <f>E5*E8</f>
        <v>165</v>
      </c>
      <c r="F7" s="254">
        <f>F5*F8</f>
        <v>165</v>
      </c>
      <c r="G7" s="254">
        <f>G5+G6</f>
        <v>152.67123287671234</v>
      </c>
      <c r="H7" s="254">
        <f>H5+H6</f>
        <v>142.3767123287671</v>
      </c>
      <c r="Q7" s="237" t="s">
        <v>607</v>
      </c>
      <c r="R7" s="238">
        <v>8.6999999999999993</v>
      </c>
      <c r="S7" s="238">
        <v>9</v>
      </c>
    </row>
    <row r="8" spans="1:20" s="242" customFormat="1">
      <c r="A8" s="255" t="s">
        <v>126</v>
      </c>
      <c r="B8" s="256">
        <v>0.17499999999999999</v>
      </c>
      <c r="C8" s="256">
        <v>0.16500000000000001</v>
      </c>
      <c r="D8" s="256">
        <v>0.16</v>
      </c>
      <c r="E8" s="256">
        <f>I8</f>
        <v>0.16500000000000001</v>
      </c>
      <c r="F8" s="256">
        <f>E8</f>
        <v>0.16500000000000001</v>
      </c>
      <c r="G8" s="256">
        <f>G7/G5</f>
        <v>0.15267123287671233</v>
      </c>
      <c r="H8" s="256">
        <f>H7/H5</f>
        <v>0.14237671232876709</v>
      </c>
      <c r="I8" s="241">
        <v>0.16500000000000001</v>
      </c>
      <c r="J8" s="232" t="s">
        <v>127</v>
      </c>
      <c r="M8" s="232" t="s">
        <v>591</v>
      </c>
      <c r="N8" s="243">
        <v>0.05</v>
      </c>
      <c r="O8" s="244">
        <f>N8*F25</f>
        <v>12.328767123287673</v>
      </c>
      <c r="Q8" s="234" t="s">
        <v>554</v>
      </c>
      <c r="R8" s="235">
        <f>R4+R5-R6-R7</f>
        <v>42.199999999999989</v>
      </c>
      <c r="S8" s="235">
        <f>S4+S5-S6-S7</f>
        <v>66</v>
      </c>
      <c r="T8" s="232"/>
    </row>
    <row r="9" spans="1:20">
      <c r="A9" s="237" t="s">
        <v>130</v>
      </c>
      <c r="B9" s="254">
        <v>-65</v>
      </c>
      <c r="C9" s="254">
        <v>-70</v>
      </c>
      <c r="D9" s="254">
        <v>-80</v>
      </c>
      <c r="E9" s="254">
        <v>-105</v>
      </c>
      <c r="F9" s="254">
        <f>E9</f>
        <v>-105</v>
      </c>
      <c r="G9" s="254">
        <f>F9</f>
        <v>-105</v>
      </c>
      <c r="H9" s="254">
        <f>G9</f>
        <v>-105</v>
      </c>
      <c r="I9" s="229">
        <v>-105</v>
      </c>
    </row>
    <row r="10" spans="1:20">
      <c r="A10" s="237" t="s">
        <v>609</v>
      </c>
      <c r="B10" s="254">
        <f t="shared" ref="B10:H10" si="0">B7+B9</f>
        <v>24.25</v>
      </c>
      <c r="C10" s="254">
        <f t="shared" si="0"/>
        <v>29</v>
      </c>
      <c r="D10" s="254">
        <f t="shared" si="0"/>
        <v>40</v>
      </c>
      <c r="E10" s="254">
        <f t="shared" si="0"/>
        <v>60</v>
      </c>
      <c r="F10" s="254">
        <f t="shared" si="0"/>
        <v>60</v>
      </c>
      <c r="G10" s="254">
        <f t="shared" si="0"/>
        <v>47.671232876712338</v>
      </c>
      <c r="H10" s="254">
        <f t="shared" si="0"/>
        <v>37.376712328767098</v>
      </c>
      <c r="J10" s="232" t="s">
        <v>131</v>
      </c>
      <c r="M10" s="232" t="s">
        <v>128</v>
      </c>
      <c r="N10" s="243">
        <v>0.1</v>
      </c>
      <c r="O10" s="244">
        <f>N10*G26</f>
        <v>10.294520547945206</v>
      </c>
    </row>
    <row r="11" spans="1:20">
      <c r="A11" s="255" t="s">
        <v>132</v>
      </c>
      <c r="B11" s="256">
        <f t="shared" ref="B11:H11" si="1">B10/B5</f>
        <v>4.7549019607843135E-2</v>
      </c>
      <c r="C11" s="256">
        <f t="shared" si="1"/>
        <v>4.8333333333333332E-2</v>
      </c>
      <c r="D11" s="256">
        <f t="shared" si="1"/>
        <v>5.3333333333333337E-2</v>
      </c>
      <c r="E11" s="256">
        <f t="shared" si="1"/>
        <v>0.06</v>
      </c>
      <c r="F11" s="256">
        <f t="shared" si="1"/>
        <v>0.06</v>
      </c>
      <c r="G11" s="256">
        <f t="shared" si="1"/>
        <v>4.7671232876712336E-2</v>
      </c>
      <c r="H11" s="256">
        <f t="shared" si="1"/>
        <v>3.7376712328767096E-2</v>
      </c>
    </row>
    <row r="12" spans="1:20">
      <c r="A12" s="234" t="s">
        <v>133</v>
      </c>
      <c r="B12" s="253">
        <f t="shared" ref="B12:H12" si="2">B10+B51</f>
        <v>24.5</v>
      </c>
      <c r="C12" s="253">
        <f t="shared" si="2"/>
        <v>29.3</v>
      </c>
      <c r="D12" s="253">
        <f t="shared" si="2"/>
        <v>40.4</v>
      </c>
      <c r="E12" s="253">
        <f t="shared" si="2"/>
        <v>60.4</v>
      </c>
      <c r="F12" s="253">
        <f t="shared" si="2"/>
        <v>60.4</v>
      </c>
      <c r="G12" s="253">
        <f t="shared" si="2"/>
        <v>48.071232876712337</v>
      </c>
      <c r="H12" s="253">
        <f t="shared" si="2"/>
        <v>37.776712328767097</v>
      </c>
    </row>
    <row r="13" spans="1:20">
      <c r="A13" s="255" t="s">
        <v>135</v>
      </c>
      <c r="B13" s="256">
        <f t="shared" ref="B13:H13" si="3">B12/B5</f>
        <v>4.8039215686274513E-2</v>
      </c>
      <c r="C13" s="256">
        <f t="shared" si="3"/>
        <v>4.8833333333333333E-2</v>
      </c>
      <c r="D13" s="256">
        <f t="shared" si="3"/>
        <v>5.3866666666666667E-2</v>
      </c>
      <c r="E13" s="256">
        <f t="shared" si="3"/>
        <v>6.0399999999999995E-2</v>
      </c>
      <c r="F13" s="256">
        <f t="shared" si="3"/>
        <v>6.0399999999999995E-2</v>
      </c>
      <c r="G13" s="256">
        <f t="shared" si="3"/>
        <v>4.807123287671234E-2</v>
      </c>
      <c r="H13" s="256">
        <f t="shared" si="3"/>
        <v>3.7776712328767094E-2</v>
      </c>
    </row>
    <row r="14" spans="1:20">
      <c r="A14" s="237" t="s">
        <v>50</v>
      </c>
      <c r="B14" s="254">
        <f t="shared" ref="B14:H14" si="4">-B78</f>
        <v>-6.6420000000000003</v>
      </c>
      <c r="C14" s="254">
        <f t="shared" si="4"/>
        <v>-13.056000000000001</v>
      </c>
      <c r="D14" s="254">
        <f t="shared" si="4"/>
        <v>-17.04</v>
      </c>
      <c r="E14" s="254">
        <f t="shared" si="4"/>
        <v>-24.77522537508154</v>
      </c>
      <c r="F14" s="254">
        <f t="shared" si="4"/>
        <v>-37.330438356164386</v>
      </c>
      <c r="G14" s="254">
        <f t="shared" si="4"/>
        <v>-36.898762619628442</v>
      </c>
      <c r="H14" s="254">
        <f t="shared" si="4"/>
        <v>-36.538313379620945</v>
      </c>
    </row>
    <row r="15" spans="1:20">
      <c r="A15" s="237" t="s">
        <v>136</v>
      </c>
      <c r="B15" s="254">
        <v>-1</v>
      </c>
      <c r="C15" s="254">
        <v>-1.5</v>
      </c>
      <c r="D15" s="254">
        <v>-1.7</v>
      </c>
      <c r="E15" s="254">
        <v>-1.7</v>
      </c>
      <c r="F15" s="254">
        <v>-1.7</v>
      </c>
      <c r="G15" s="254">
        <v>-1.7</v>
      </c>
      <c r="H15" s="254">
        <v>-1.7</v>
      </c>
    </row>
    <row r="16" spans="1:20">
      <c r="A16" s="237" t="s">
        <v>501</v>
      </c>
      <c r="B16" s="254">
        <f t="shared" ref="B16:H16" si="5">B10+B14+B15</f>
        <v>16.608000000000001</v>
      </c>
      <c r="C16" s="254">
        <f t="shared" si="5"/>
        <v>14.443999999999999</v>
      </c>
      <c r="D16" s="254">
        <f t="shared" si="5"/>
        <v>21.26</v>
      </c>
      <c r="E16" s="254">
        <f t="shared" si="5"/>
        <v>33.524774624918457</v>
      </c>
      <c r="F16" s="254">
        <f t="shared" si="5"/>
        <v>20.969561643835615</v>
      </c>
      <c r="G16" s="254">
        <f t="shared" si="5"/>
        <v>9.0724702570838964</v>
      </c>
      <c r="H16" s="254">
        <f t="shared" si="5"/>
        <v>-0.86160105085384653</v>
      </c>
    </row>
    <row r="17" spans="1:19">
      <c r="A17" s="237" t="s">
        <v>83</v>
      </c>
      <c r="B17" s="254">
        <f t="shared" ref="B17:H17" si="6">-34%*B16</f>
        <v>-5.6467200000000002</v>
      </c>
      <c r="C17" s="254">
        <f t="shared" si="6"/>
        <v>-4.9109600000000002</v>
      </c>
      <c r="D17" s="254">
        <f t="shared" si="6"/>
        <v>-7.2284000000000015</v>
      </c>
      <c r="E17" s="254">
        <f t="shared" si="6"/>
        <v>-11.398423372472276</v>
      </c>
      <c r="F17" s="254">
        <f t="shared" si="6"/>
        <v>-7.1296509589041097</v>
      </c>
      <c r="G17" s="254">
        <f t="shared" si="6"/>
        <v>-3.084639887408525</v>
      </c>
      <c r="H17" s="254">
        <f t="shared" si="6"/>
        <v>0.29294435729030782</v>
      </c>
    </row>
    <row r="18" spans="1:19">
      <c r="A18" s="234" t="s">
        <v>592</v>
      </c>
      <c r="B18" s="253">
        <f t="shared" ref="B18:H18" si="7">B16+B17</f>
        <v>10.96128</v>
      </c>
      <c r="C18" s="253">
        <f t="shared" si="7"/>
        <v>9.5330399999999997</v>
      </c>
      <c r="D18" s="253">
        <f t="shared" si="7"/>
        <v>14.031600000000001</v>
      </c>
      <c r="E18" s="253">
        <f t="shared" si="7"/>
        <v>22.126351252446181</v>
      </c>
      <c r="F18" s="253">
        <f t="shared" si="7"/>
        <v>13.839910684931505</v>
      </c>
      <c r="G18" s="253">
        <f t="shared" si="7"/>
        <v>5.9878303696753719</v>
      </c>
      <c r="H18" s="253">
        <f t="shared" si="7"/>
        <v>-0.56865669356353865</v>
      </c>
    </row>
    <row r="19" spans="1:19">
      <c r="A19" s="255" t="s">
        <v>84</v>
      </c>
      <c r="B19" s="256">
        <f t="shared" ref="B19:H19" si="8">B18/B5</f>
        <v>2.1492705882352942E-2</v>
      </c>
      <c r="C19" s="256">
        <f t="shared" si="8"/>
        <v>1.58884E-2</v>
      </c>
      <c r="D19" s="256">
        <f t="shared" si="8"/>
        <v>1.8708800000000001E-2</v>
      </c>
      <c r="E19" s="256">
        <f t="shared" si="8"/>
        <v>2.2126351252446181E-2</v>
      </c>
      <c r="F19" s="256">
        <f t="shared" si="8"/>
        <v>1.3839910684931504E-2</v>
      </c>
      <c r="G19" s="256">
        <f t="shared" si="8"/>
        <v>5.9878303696753715E-3</v>
      </c>
      <c r="H19" s="256">
        <f t="shared" si="8"/>
        <v>-5.686566935635387E-4</v>
      </c>
    </row>
    <row r="20" spans="1:19">
      <c r="A20" s="251"/>
      <c r="B20" s="252"/>
      <c r="C20" s="252"/>
      <c r="D20" s="252"/>
      <c r="E20" s="252"/>
      <c r="F20" s="252"/>
      <c r="G20" s="252"/>
      <c r="H20" s="252"/>
    </row>
    <row r="21" spans="1:19">
      <c r="B21" s="240"/>
      <c r="C21" s="240"/>
      <c r="D21" s="240"/>
      <c r="E21" s="240"/>
      <c r="F21" s="601" t="s">
        <v>590</v>
      </c>
      <c r="G21" s="601"/>
      <c r="H21" s="601"/>
    </row>
    <row r="22" spans="1:19">
      <c r="A22" s="230" t="s">
        <v>613</v>
      </c>
      <c r="B22" s="235">
        <v>2021</v>
      </c>
      <c r="C22" s="235">
        <v>2022</v>
      </c>
      <c r="D22" s="235">
        <v>2023</v>
      </c>
      <c r="E22" s="235" t="s">
        <v>604</v>
      </c>
      <c r="F22" s="235" t="s">
        <v>129</v>
      </c>
      <c r="G22" s="235" t="s">
        <v>137</v>
      </c>
      <c r="H22" s="235" t="s">
        <v>138</v>
      </c>
    </row>
    <row r="23" spans="1:19" s="230" customFormat="1">
      <c r="A23" s="234" t="s">
        <v>547</v>
      </c>
      <c r="B23" s="253">
        <f t="shared" ref="B23:H23" si="9">B28+B31</f>
        <v>162.5</v>
      </c>
      <c r="C23" s="253">
        <f t="shared" si="9"/>
        <v>238</v>
      </c>
      <c r="D23" s="253">
        <f t="shared" si="9"/>
        <v>266</v>
      </c>
      <c r="E23" s="253">
        <f t="shared" si="9"/>
        <v>341.36323113720374</v>
      </c>
      <c r="F23" s="253">
        <f t="shared" si="9"/>
        <v>378.52054794520552</v>
      </c>
      <c r="G23" s="253">
        <f t="shared" si="9"/>
        <v>366.1917808219178</v>
      </c>
      <c r="H23" s="253">
        <f t="shared" si="9"/>
        <v>355.89726027397262</v>
      </c>
      <c r="R23" s="233"/>
      <c r="S23" s="233"/>
    </row>
    <row r="24" spans="1:19">
      <c r="A24" s="237" t="s">
        <v>90</v>
      </c>
      <c r="B24" s="254">
        <v>10</v>
      </c>
      <c r="C24" s="254">
        <v>6</v>
      </c>
      <c r="D24" s="254">
        <v>15</v>
      </c>
      <c r="E24" s="254">
        <f>D24</f>
        <v>15</v>
      </c>
      <c r="F24" s="254">
        <f>E24</f>
        <v>15</v>
      </c>
      <c r="G24" s="254">
        <f>F24</f>
        <v>15</v>
      </c>
      <c r="H24" s="254">
        <f>G24</f>
        <v>15</v>
      </c>
    </row>
    <row r="25" spans="1:19">
      <c r="A25" s="237" t="s">
        <v>139</v>
      </c>
      <c r="B25" s="254">
        <v>100</v>
      </c>
      <c r="C25" s="254">
        <v>150</v>
      </c>
      <c r="D25" s="254">
        <v>170</v>
      </c>
      <c r="E25" s="254">
        <v>223.56164383561645</v>
      </c>
      <c r="F25" s="254">
        <f>F5*F61/365</f>
        <v>246.57534246575344</v>
      </c>
      <c r="G25" s="254">
        <f>F25*(1-N8)</f>
        <v>234.24657534246575</v>
      </c>
      <c r="H25" s="254">
        <f>G25</f>
        <v>234.24657534246575</v>
      </c>
    </row>
    <row r="26" spans="1:19">
      <c r="A26" s="237" t="s">
        <v>92</v>
      </c>
      <c r="B26" s="254">
        <v>40</v>
      </c>
      <c r="C26" s="254">
        <v>71</v>
      </c>
      <c r="D26" s="254">
        <v>67</v>
      </c>
      <c r="E26" s="254">
        <v>88.801587301587304</v>
      </c>
      <c r="F26" s="254">
        <f>-F6*F62/365</f>
        <v>102.94520547945206</v>
      </c>
      <c r="G26" s="254">
        <f>F26</f>
        <v>102.94520547945206</v>
      </c>
      <c r="H26" s="254">
        <f>G26-(N10*G26)</f>
        <v>92.650684931506845</v>
      </c>
      <c r="I26" s="245"/>
    </row>
    <row r="27" spans="1:19">
      <c r="A27" s="237" t="s">
        <v>140</v>
      </c>
      <c r="B27" s="254">
        <v>10</v>
      </c>
      <c r="C27" s="254">
        <v>8</v>
      </c>
      <c r="D27" s="254">
        <v>10</v>
      </c>
      <c r="E27" s="254">
        <f>D27</f>
        <v>10</v>
      </c>
      <c r="F27" s="254">
        <f>E27</f>
        <v>10</v>
      </c>
      <c r="G27" s="254">
        <f>F27</f>
        <v>10</v>
      </c>
      <c r="H27" s="254">
        <f>G27</f>
        <v>10</v>
      </c>
    </row>
    <row r="28" spans="1:19" s="230" customFormat="1">
      <c r="A28" s="234" t="s">
        <v>89</v>
      </c>
      <c r="B28" s="253">
        <f t="shared" ref="B28:H28" si="10">B24+B25+B26+B27</f>
        <v>160</v>
      </c>
      <c r="C28" s="253">
        <f t="shared" si="10"/>
        <v>235</v>
      </c>
      <c r="D28" s="253">
        <f t="shared" si="10"/>
        <v>262</v>
      </c>
      <c r="E28" s="253">
        <f t="shared" si="10"/>
        <v>337.36323113720374</v>
      </c>
      <c r="F28" s="253">
        <f t="shared" si="10"/>
        <v>374.52054794520552</v>
      </c>
      <c r="G28" s="253">
        <f t="shared" si="10"/>
        <v>362.1917808219178</v>
      </c>
      <c r="H28" s="253">
        <f t="shared" si="10"/>
        <v>351.89726027397262</v>
      </c>
      <c r="R28" s="233"/>
      <c r="S28" s="233"/>
    </row>
    <row r="29" spans="1:19">
      <c r="A29" s="237" t="s">
        <v>141</v>
      </c>
      <c r="B29" s="254">
        <v>0.5</v>
      </c>
      <c r="C29" s="254">
        <v>0.5</v>
      </c>
      <c r="D29" s="254">
        <v>0.5</v>
      </c>
      <c r="E29" s="254">
        <f t="shared" ref="E29:H30" si="11">D29</f>
        <v>0.5</v>
      </c>
      <c r="F29" s="254">
        <f t="shared" si="11"/>
        <v>0.5</v>
      </c>
      <c r="G29" s="254">
        <f t="shared" si="11"/>
        <v>0.5</v>
      </c>
      <c r="H29" s="254">
        <f t="shared" si="11"/>
        <v>0.5</v>
      </c>
    </row>
    <row r="30" spans="1:19">
      <c r="A30" s="237" t="s">
        <v>29</v>
      </c>
      <c r="B30" s="254">
        <v>2</v>
      </c>
      <c r="C30" s="254">
        <v>2.5</v>
      </c>
      <c r="D30" s="254">
        <v>3.5</v>
      </c>
      <c r="E30" s="254">
        <f t="shared" si="11"/>
        <v>3.5</v>
      </c>
      <c r="F30" s="254">
        <f t="shared" si="11"/>
        <v>3.5</v>
      </c>
      <c r="G30" s="254">
        <f t="shared" si="11"/>
        <v>3.5</v>
      </c>
      <c r="H30" s="254">
        <f t="shared" si="11"/>
        <v>3.5</v>
      </c>
    </row>
    <row r="31" spans="1:19" s="230" customFormat="1">
      <c r="A31" s="234" t="s">
        <v>11</v>
      </c>
      <c r="B31" s="253">
        <f t="shared" ref="B31:H31" si="12">B29+B30</f>
        <v>2.5</v>
      </c>
      <c r="C31" s="253">
        <f t="shared" si="12"/>
        <v>3</v>
      </c>
      <c r="D31" s="253">
        <f t="shared" si="12"/>
        <v>4</v>
      </c>
      <c r="E31" s="253">
        <f t="shared" si="12"/>
        <v>4</v>
      </c>
      <c r="F31" s="253">
        <f t="shared" si="12"/>
        <v>4</v>
      </c>
      <c r="G31" s="253">
        <f t="shared" si="12"/>
        <v>4</v>
      </c>
      <c r="H31" s="253">
        <f t="shared" si="12"/>
        <v>4</v>
      </c>
      <c r="R31" s="233"/>
      <c r="S31" s="233"/>
    </row>
    <row r="32" spans="1:19" s="230" customFormat="1">
      <c r="A32" s="234"/>
      <c r="B32" s="253"/>
      <c r="C32" s="253"/>
      <c r="D32" s="253"/>
      <c r="E32" s="253"/>
      <c r="F32" s="253"/>
      <c r="G32" s="253"/>
      <c r="H32" s="253"/>
      <c r="R32" s="233"/>
      <c r="S32" s="233"/>
    </row>
    <row r="33" spans="1:19" s="230" customFormat="1">
      <c r="A33" s="234" t="s">
        <v>546</v>
      </c>
      <c r="B33" s="253">
        <f t="shared" ref="B33:H33" si="13">B41+B38+B37</f>
        <v>162.5</v>
      </c>
      <c r="C33" s="253">
        <f t="shared" si="13"/>
        <v>238</v>
      </c>
      <c r="D33" s="253">
        <f t="shared" si="13"/>
        <v>266</v>
      </c>
      <c r="E33" s="253">
        <f t="shared" si="13"/>
        <v>341.36323113720374</v>
      </c>
      <c r="F33" s="253">
        <f t="shared" si="13"/>
        <v>378.52054794520552</v>
      </c>
      <c r="G33" s="253">
        <f t="shared" si="13"/>
        <v>366.1917808219178</v>
      </c>
      <c r="H33" s="253">
        <f t="shared" si="13"/>
        <v>355.89726027397262</v>
      </c>
      <c r="R33" s="233"/>
      <c r="S33" s="233"/>
    </row>
    <row r="34" spans="1:19">
      <c r="A34" s="237" t="s">
        <v>142</v>
      </c>
      <c r="B34" s="254">
        <v>85</v>
      </c>
      <c r="C34" s="254">
        <v>125</v>
      </c>
      <c r="D34" s="254">
        <v>120</v>
      </c>
      <c r="E34" s="254">
        <v>159.04761904761904</v>
      </c>
      <c r="F34" s="254">
        <f>-F6*F63/365</f>
        <v>137.26027397260273</v>
      </c>
      <c r="G34" s="254">
        <f>-G6*G63/365</f>
        <v>139.28692062300618</v>
      </c>
      <c r="H34" s="254">
        <f>-H6*H63/365</f>
        <v>140.97917057609308</v>
      </c>
    </row>
    <row r="35" spans="1:19">
      <c r="A35" s="237" t="s">
        <v>611</v>
      </c>
      <c r="B35" s="254">
        <v>12.5</v>
      </c>
      <c r="C35" s="254">
        <v>18</v>
      </c>
      <c r="D35" s="254">
        <v>20</v>
      </c>
      <c r="E35" s="254">
        <v>20</v>
      </c>
      <c r="F35" s="254">
        <f>E35</f>
        <v>20</v>
      </c>
      <c r="G35" s="254">
        <f>F35</f>
        <v>20</v>
      </c>
      <c r="H35" s="254">
        <f>G35</f>
        <v>20</v>
      </c>
    </row>
    <row r="36" spans="1:19">
      <c r="A36" s="237" t="s">
        <v>143</v>
      </c>
      <c r="B36" s="254">
        <v>33</v>
      </c>
      <c r="C36" s="254">
        <v>52</v>
      </c>
      <c r="D36" s="254">
        <v>60</v>
      </c>
      <c r="E36" s="254">
        <f>E37-E34-E35</f>
        <v>96.315612089584704</v>
      </c>
      <c r="F36" s="254">
        <f>F37-F34-F35</f>
        <v>155.26027397260279</v>
      </c>
      <c r="G36" s="254">
        <f>G37-G34-G35</f>
        <v>153.23362732219928</v>
      </c>
      <c r="H36" s="254">
        <f>H37-H34-H35</f>
        <v>151.54137736911244</v>
      </c>
    </row>
    <row r="37" spans="1:19" s="230" customFormat="1">
      <c r="A37" s="234" t="s">
        <v>94</v>
      </c>
      <c r="B37" s="253">
        <f>B34+B35+B36</f>
        <v>130.5</v>
      </c>
      <c r="C37" s="253">
        <f>C34+C35+C36</f>
        <v>195</v>
      </c>
      <c r="D37" s="253">
        <f>D34+D35+D36</f>
        <v>200</v>
      </c>
      <c r="E37" s="253">
        <f>E23-E38-E41</f>
        <v>275.36323113720374</v>
      </c>
      <c r="F37" s="253">
        <f>F23-F38-F41</f>
        <v>312.52054794520552</v>
      </c>
      <c r="G37" s="253">
        <f>G23-G38-G41</f>
        <v>312.52054794520546</v>
      </c>
      <c r="H37" s="253">
        <f>H23-H38-H41</f>
        <v>312.52054794520552</v>
      </c>
      <c r="R37" s="233"/>
      <c r="S37" s="233"/>
    </row>
    <row r="38" spans="1:19" s="230" customFormat="1">
      <c r="A38" s="234" t="s">
        <v>101</v>
      </c>
      <c r="B38" s="253">
        <v>18</v>
      </c>
      <c r="C38" s="253">
        <v>18</v>
      </c>
      <c r="D38" s="253">
        <v>35</v>
      </c>
      <c r="E38" s="253">
        <f t="shared" ref="E38:H39" si="14">D38</f>
        <v>35</v>
      </c>
      <c r="F38" s="253">
        <f t="shared" si="14"/>
        <v>35</v>
      </c>
      <c r="G38" s="253">
        <f t="shared" si="14"/>
        <v>35</v>
      </c>
      <c r="H38" s="253">
        <f t="shared" si="14"/>
        <v>35</v>
      </c>
      <c r="R38" s="233"/>
      <c r="S38" s="233"/>
    </row>
    <row r="39" spans="1:19">
      <c r="A39" s="237" t="s">
        <v>105</v>
      </c>
      <c r="B39" s="254">
        <v>10</v>
      </c>
      <c r="C39" s="254">
        <v>10</v>
      </c>
      <c r="D39" s="254">
        <v>10</v>
      </c>
      <c r="E39" s="254">
        <f t="shared" si="14"/>
        <v>10</v>
      </c>
      <c r="F39" s="254">
        <f t="shared" si="14"/>
        <v>10</v>
      </c>
      <c r="G39" s="254">
        <f t="shared" si="14"/>
        <v>10</v>
      </c>
      <c r="H39" s="254">
        <f t="shared" si="14"/>
        <v>10</v>
      </c>
    </row>
    <row r="40" spans="1:19">
      <c r="A40" s="237" t="s">
        <v>144</v>
      </c>
      <c r="B40" s="254">
        <f>B41-B39</f>
        <v>4</v>
      </c>
      <c r="C40" s="254">
        <f>C41-C39</f>
        <v>15</v>
      </c>
      <c r="D40" s="254">
        <f>D41-D39</f>
        <v>21</v>
      </c>
      <c r="E40" s="254">
        <f>D40</f>
        <v>21</v>
      </c>
      <c r="F40" s="254">
        <f>E40</f>
        <v>21</v>
      </c>
      <c r="G40" s="254">
        <f>F40+G56</f>
        <v>8.6712328767123275</v>
      </c>
      <c r="H40" s="254">
        <f>G40+H56</f>
        <v>-1.6232876712328785</v>
      </c>
    </row>
    <row r="41" spans="1:19" s="230" customFormat="1">
      <c r="A41" s="234" t="s">
        <v>102</v>
      </c>
      <c r="B41" s="253">
        <f>B23-B37-B38</f>
        <v>14</v>
      </c>
      <c r="C41" s="253">
        <f>C23-C37-C38</f>
        <v>25</v>
      </c>
      <c r="D41" s="253">
        <f>D23-D37-D38</f>
        <v>31</v>
      </c>
      <c r="E41" s="253">
        <f>D41</f>
        <v>31</v>
      </c>
      <c r="F41" s="253">
        <f>E41</f>
        <v>31</v>
      </c>
      <c r="G41" s="253">
        <f>G39+G40</f>
        <v>18.671232876712327</v>
      </c>
      <c r="H41" s="253">
        <f>H39+H40</f>
        <v>8.3767123287671215</v>
      </c>
      <c r="R41" s="233"/>
      <c r="S41" s="233"/>
    </row>
    <row r="42" spans="1:19" s="230" customFormat="1">
      <c r="B42" s="239"/>
      <c r="C42" s="239"/>
      <c r="D42" s="239"/>
      <c r="E42" s="239"/>
      <c r="F42" s="239"/>
      <c r="G42" s="239"/>
      <c r="H42" s="239"/>
      <c r="R42" s="233"/>
      <c r="S42" s="233"/>
    </row>
    <row r="43" spans="1:19">
      <c r="B43" s="240"/>
      <c r="C43" s="240"/>
      <c r="D43" s="240"/>
      <c r="E43" s="240"/>
      <c r="F43" s="602" t="s">
        <v>590</v>
      </c>
      <c r="G43" s="602"/>
      <c r="H43" s="602"/>
    </row>
    <row r="44" spans="1:19">
      <c r="A44" s="234" t="s">
        <v>145</v>
      </c>
      <c r="B44" s="235">
        <v>2021</v>
      </c>
      <c r="C44" s="235">
        <v>2022</v>
      </c>
      <c r="D44" s="235">
        <v>2023</v>
      </c>
      <c r="E44" s="235" t="s">
        <v>604</v>
      </c>
      <c r="F44" s="235" t="s">
        <v>129</v>
      </c>
      <c r="G44" s="235" t="s">
        <v>137</v>
      </c>
      <c r="H44" s="235" t="s">
        <v>138</v>
      </c>
    </row>
    <row r="45" spans="1:19">
      <c r="A45" s="237" t="s">
        <v>5</v>
      </c>
      <c r="B45" s="254" t="s">
        <v>19</v>
      </c>
      <c r="C45" s="254">
        <f t="shared" ref="C45:H46" si="15">C25-B25</f>
        <v>50</v>
      </c>
      <c r="D45" s="254">
        <f t="shared" si="15"/>
        <v>20</v>
      </c>
      <c r="E45" s="254">
        <f t="shared" si="15"/>
        <v>53.561643835616451</v>
      </c>
      <c r="F45" s="254">
        <f t="shared" si="15"/>
        <v>23.013698630136986</v>
      </c>
      <c r="G45" s="254">
        <f t="shared" si="15"/>
        <v>-12.32876712328769</v>
      </c>
      <c r="H45" s="254">
        <f t="shared" si="15"/>
        <v>0</v>
      </c>
    </row>
    <row r="46" spans="1:19">
      <c r="A46" s="237" t="s">
        <v>92</v>
      </c>
      <c r="B46" s="254" t="s">
        <v>19</v>
      </c>
      <c r="C46" s="254">
        <f t="shared" si="15"/>
        <v>31</v>
      </c>
      <c r="D46" s="254">
        <f t="shared" si="15"/>
        <v>-4</v>
      </c>
      <c r="E46" s="254">
        <f t="shared" si="15"/>
        <v>21.801587301587304</v>
      </c>
      <c r="F46" s="254">
        <f t="shared" si="15"/>
        <v>14.143618177864752</v>
      </c>
      <c r="G46" s="254">
        <f t="shared" si="15"/>
        <v>0</v>
      </c>
      <c r="H46" s="254">
        <f t="shared" si="15"/>
        <v>-10.294520547945211</v>
      </c>
    </row>
    <row r="47" spans="1:19">
      <c r="A47" s="237" t="s">
        <v>142</v>
      </c>
      <c r="B47" s="254" t="s">
        <v>19</v>
      </c>
      <c r="C47" s="254">
        <f t="shared" ref="C47:H48" si="16">C34-B34</f>
        <v>40</v>
      </c>
      <c r="D47" s="254">
        <f t="shared" si="16"/>
        <v>-5</v>
      </c>
      <c r="E47" s="254">
        <f t="shared" si="16"/>
        <v>39.047619047619037</v>
      </c>
      <c r="F47" s="254">
        <f t="shared" si="16"/>
        <v>-21.787345075016304</v>
      </c>
      <c r="G47" s="254">
        <f t="shared" si="16"/>
        <v>2.0266466504034497</v>
      </c>
      <c r="H47" s="254">
        <f t="shared" si="16"/>
        <v>1.6922499530869004</v>
      </c>
    </row>
    <row r="48" spans="1:19">
      <c r="A48" s="237" t="s">
        <v>611</v>
      </c>
      <c r="B48" s="254" t="s">
        <v>19</v>
      </c>
      <c r="C48" s="254">
        <f t="shared" si="16"/>
        <v>5.5</v>
      </c>
      <c r="D48" s="254">
        <f t="shared" si="16"/>
        <v>2</v>
      </c>
      <c r="E48" s="254">
        <f t="shared" si="16"/>
        <v>0</v>
      </c>
      <c r="F48" s="254">
        <f t="shared" si="16"/>
        <v>0</v>
      </c>
      <c r="G48" s="254">
        <f t="shared" si="16"/>
        <v>0</v>
      </c>
      <c r="H48" s="254">
        <f t="shared" si="16"/>
        <v>0</v>
      </c>
    </row>
    <row r="49" spans="1:8">
      <c r="A49" s="234" t="s">
        <v>610</v>
      </c>
      <c r="B49" s="254" t="s">
        <v>19</v>
      </c>
      <c r="C49" s="253">
        <f t="shared" ref="C49:H49" si="17">C45+C46-C47-C48</f>
        <v>35.5</v>
      </c>
      <c r="D49" s="253">
        <f t="shared" si="17"/>
        <v>19</v>
      </c>
      <c r="E49" s="253">
        <f t="shared" si="17"/>
        <v>36.315612089584718</v>
      </c>
      <c r="F49" s="253">
        <f t="shared" si="17"/>
        <v>58.944661883018043</v>
      </c>
      <c r="G49" s="253">
        <f t="shared" si="17"/>
        <v>-14.35541377369114</v>
      </c>
      <c r="H49" s="253">
        <f t="shared" si="17"/>
        <v>-11.986770501032112</v>
      </c>
    </row>
    <row r="50" spans="1:8">
      <c r="A50" s="234" t="s">
        <v>594</v>
      </c>
      <c r="B50" s="254" t="s">
        <v>19</v>
      </c>
      <c r="C50" s="253">
        <f t="shared" ref="C50:H50" si="18">C31-B31</f>
        <v>0.5</v>
      </c>
      <c r="D50" s="253">
        <f t="shared" si="18"/>
        <v>1</v>
      </c>
      <c r="E50" s="253">
        <f t="shared" si="18"/>
        <v>0</v>
      </c>
      <c r="F50" s="253">
        <f t="shared" si="18"/>
        <v>0</v>
      </c>
      <c r="G50" s="253">
        <f t="shared" si="18"/>
        <v>0</v>
      </c>
      <c r="H50" s="253">
        <f t="shared" si="18"/>
        <v>0</v>
      </c>
    </row>
    <row r="51" spans="1:8">
      <c r="A51" s="234" t="s">
        <v>47</v>
      </c>
      <c r="B51" s="253">
        <f t="shared" ref="B51:H51" si="19">10%*B31</f>
        <v>0.25</v>
      </c>
      <c r="C51" s="253">
        <f t="shared" si="19"/>
        <v>0.30000000000000004</v>
      </c>
      <c r="D51" s="253">
        <f t="shared" si="19"/>
        <v>0.4</v>
      </c>
      <c r="E51" s="253">
        <f t="shared" si="19"/>
        <v>0.4</v>
      </c>
      <c r="F51" s="253">
        <f t="shared" si="19"/>
        <v>0.4</v>
      </c>
      <c r="G51" s="253">
        <f t="shared" si="19"/>
        <v>0.4</v>
      </c>
      <c r="H51" s="253">
        <f t="shared" si="19"/>
        <v>0.4</v>
      </c>
    </row>
    <row r="52" spans="1:8">
      <c r="B52" s="240"/>
      <c r="C52" s="240"/>
      <c r="D52" s="240"/>
      <c r="E52" s="240"/>
      <c r="F52" s="240"/>
      <c r="G52" s="240"/>
      <c r="H52" s="240"/>
    </row>
    <row r="53" spans="1:8">
      <c r="A53" s="232" t="s">
        <v>595</v>
      </c>
      <c r="B53" s="240"/>
      <c r="C53" s="240"/>
      <c r="D53" s="240"/>
      <c r="E53" s="240">
        <f>E41-D41</f>
        <v>0</v>
      </c>
      <c r="F53" s="240">
        <f>F41-E41</f>
        <v>0</v>
      </c>
      <c r="G53" s="240">
        <f>G41-F41</f>
        <v>-12.328767123287673</v>
      </c>
      <c r="H53" s="240">
        <f>H41-G41</f>
        <v>-10.294520547945206</v>
      </c>
    </row>
    <row r="54" spans="1:8">
      <c r="A54" s="232" t="s">
        <v>596</v>
      </c>
      <c r="B54" s="240"/>
      <c r="C54" s="240"/>
      <c r="D54" s="240">
        <f>D68-C68</f>
        <v>16</v>
      </c>
      <c r="E54" s="240">
        <f>E68-D68</f>
        <v>36.315612089584704</v>
      </c>
      <c r="F54" s="240">
        <f>F68-E68</f>
        <v>58.944661883018085</v>
      </c>
      <c r="G54" s="240">
        <f>G68-F68</f>
        <v>-2.0266466504035066</v>
      </c>
      <c r="H54" s="240">
        <f>H68-G68</f>
        <v>-1.6922499530868436</v>
      </c>
    </row>
    <row r="55" spans="1:8">
      <c r="B55" s="240"/>
      <c r="C55" s="240"/>
      <c r="D55" s="240"/>
      <c r="E55" s="240"/>
      <c r="F55" s="240"/>
      <c r="G55" s="240"/>
      <c r="H55" s="240"/>
    </row>
    <row r="56" spans="1:8">
      <c r="A56" s="230" t="s">
        <v>597</v>
      </c>
      <c r="B56" s="246"/>
      <c r="C56" s="246"/>
      <c r="D56" s="246"/>
      <c r="E56" s="246"/>
      <c r="F56" s="246"/>
      <c r="G56" s="247">
        <f>-N8*F25</f>
        <v>-12.328767123287673</v>
      </c>
      <c r="H56" s="247">
        <f>-N10*G26</f>
        <v>-10.294520547945206</v>
      </c>
    </row>
    <row r="57" spans="1:8">
      <c r="B57" s="246"/>
      <c r="C57" s="246"/>
      <c r="D57" s="246"/>
      <c r="E57" s="246"/>
      <c r="F57" s="246"/>
      <c r="G57" s="246"/>
      <c r="H57" s="246"/>
    </row>
    <row r="58" spans="1:8">
      <c r="A58" s="600"/>
      <c r="B58" s="600"/>
      <c r="C58" s="600"/>
      <c r="D58" s="600"/>
      <c r="E58" s="600"/>
      <c r="F58" s="601" t="s">
        <v>590</v>
      </c>
      <c r="G58" s="601"/>
      <c r="H58" s="601"/>
    </row>
    <row r="59" spans="1:8">
      <c r="A59" s="234" t="s">
        <v>28</v>
      </c>
      <c r="B59" s="235">
        <v>2021</v>
      </c>
      <c r="C59" s="235">
        <v>2022</v>
      </c>
      <c r="D59" s="235">
        <v>2023</v>
      </c>
      <c r="E59" s="235" t="s">
        <v>604</v>
      </c>
      <c r="F59" s="235" t="s">
        <v>129</v>
      </c>
      <c r="G59" s="235" t="s">
        <v>137</v>
      </c>
      <c r="H59" s="235" t="s">
        <v>138</v>
      </c>
    </row>
    <row r="60" spans="1:8">
      <c r="A60" s="234" t="s">
        <v>598</v>
      </c>
      <c r="B60" s="257">
        <f t="shared" ref="B60:H60" si="20">B25+B26-B34-B35</f>
        <v>42.5</v>
      </c>
      <c r="C60" s="257">
        <f t="shared" si="20"/>
        <v>78</v>
      </c>
      <c r="D60" s="257">
        <f t="shared" si="20"/>
        <v>97</v>
      </c>
      <c r="E60" s="257">
        <f t="shared" si="20"/>
        <v>133.3156120895847</v>
      </c>
      <c r="F60" s="257">
        <f t="shared" si="20"/>
        <v>192.26027397260279</v>
      </c>
      <c r="G60" s="257">
        <f t="shared" si="20"/>
        <v>177.90486019891162</v>
      </c>
      <c r="H60" s="257">
        <f t="shared" si="20"/>
        <v>165.91808969787954</v>
      </c>
    </row>
    <row r="61" spans="1:8">
      <c r="A61" s="237" t="s">
        <v>599</v>
      </c>
      <c r="B61" s="258">
        <f>B25/B5*365</f>
        <v>71.568627450980387</v>
      </c>
      <c r="C61" s="258">
        <f t="shared" ref="C61:E61" si="21">C25/C5*365</f>
        <v>91.25</v>
      </c>
      <c r="D61" s="258">
        <f t="shared" si="21"/>
        <v>82.733333333333334</v>
      </c>
      <c r="E61" s="258">
        <f t="shared" si="21"/>
        <v>81.599999999999994</v>
      </c>
      <c r="F61" s="259">
        <v>90</v>
      </c>
      <c r="G61" s="259">
        <f>G25/G5*360</f>
        <v>84.328767123287662</v>
      </c>
      <c r="H61" s="258">
        <f>H25/H5*360</f>
        <v>84.328767123287662</v>
      </c>
    </row>
    <row r="62" spans="1:8">
      <c r="A62" s="237" t="s">
        <v>600</v>
      </c>
      <c r="B62" s="258">
        <f>B26/-B6*365</f>
        <v>34.699940582293522</v>
      </c>
      <c r="C62" s="258">
        <f t="shared" ref="C62:E62" si="22">C26/-C6*365</f>
        <v>51.726546906187622</v>
      </c>
      <c r="D62" s="258">
        <f t="shared" si="22"/>
        <v>38.817460317460316</v>
      </c>
      <c r="E62" s="258">
        <f t="shared" si="22"/>
        <v>38.817460317460316</v>
      </c>
      <c r="F62" s="259">
        <v>45</v>
      </c>
      <c r="G62" s="259">
        <f>F62</f>
        <v>45</v>
      </c>
      <c r="H62" s="257">
        <f>H26/-H6*365</f>
        <v>39.431648471005403</v>
      </c>
    </row>
    <row r="63" spans="1:8">
      <c r="A63" s="237" t="s">
        <v>601</v>
      </c>
      <c r="B63" s="258">
        <f>B34/-B6*365</f>
        <v>73.73737373737373</v>
      </c>
      <c r="C63" s="258">
        <f t="shared" ref="C63:E63" si="23">C34/-C6*365</f>
        <v>91.067864271457083</v>
      </c>
      <c r="D63" s="258">
        <f t="shared" si="23"/>
        <v>69.523809523809518</v>
      </c>
      <c r="E63" s="258">
        <f t="shared" si="23"/>
        <v>69.523809523809518</v>
      </c>
      <c r="F63" s="258">
        <v>60</v>
      </c>
      <c r="G63" s="258">
        <v>60</v>
      </c>
      <c r="H63" s="258">
        <f>G63</f>
        <v>60</v>
      </c>
    </row>
    <row r="64" spans="1:8">
      <c r="A64" s="237" t="s">
        <v>593</v>
      </c>
      <c r="B64" s="258">
        <f>B35/-B6*365</f>
        <v>10.843731431966726</v>
      </c>
      <c r="C64" s="258">
        <f t="shared" ref="C64:E64" si="24">C35/-C6*365</f>
        <v>13.113772455089819</v>
      </c>
      <c r="D64" s="258">
        <f t="shared" si="24"/>
        <v>11.587301587301587</v>
      </c>
      <c r="E64" s="258">
        <f t="shared" si="24"/>
        <v>8.7425149700598812</v>
      </c>
      <c r="F64" s="258">
        <v>9</v>
      </c>
      <c r="G64" s="258">
        <v>9</v>
      </c>
      <c r="H64" s="258">
        <v>9</v>
      </c>
    </row>
    <row r="65" spans="1:19">
      <c r="A65" s="234" t="s">
        <v>614</v>
      </c>
      <c r="B65" s="257">
        <f t="shared" ref="B65:H65" si="25">B61+B62-B63-B64</f>
        <v>21.687462863933455</v>
      </c>
      <c r="C65" s="257">
        <f t="shared" si="25"/>
        <v>38.794910179640723</v>
      </c>
      <c r="D65" s="257">
        <f t="shared" si="25"/>
        <v>40.439682539682543</v>
      </c>
      <c r="E65" s="257">
        <f t="shared" si="25"/>
        <v>42.151135823590913</v>
      </c>
      <c r="F65" s="257">
        <f t="shared" si="25"/>
        <v>66</v>
      </c>
      <c r="G65" s="257">
        <f t="shared" si="25"/>
        <v>60.328767123287662</v>
      </c>
      <c r="H65" s="257">
        <f t="shared" si="25"/>
        <v>54.760415594293065</v>
      </c>
    </row>
    <row r="66" spans="1:19">
      <c r="B66" s="246"/>
      <c r="C66" s="246"/>
      <c r="D66" s="246"/>
      <c r="E66" s="246"/>
      <c r="F66" s="246"/>
      <c r="G66" s="246"/>
      <c r="H66" s="246"/>
    </row>
    <row r="67" spans="1:19">
      <c r="A67" s="234" t="s">
        <v>146</v>
      </c>
      <c r="B67" s="257">
        <f t="shared" ref="B67:H67" si="26">B68+B69</f>
        <v>55</v>
      </c>
      <c r="C67" s="257">
        <f t="shared" si="26"/>
        <v>89</v>
      </c>
      <c r="D67" s="257">
        <f t="shared" si="26"/>
        <v>111</v>
      </c>
      <c r="E67" s="257">
        <f t="shared" si="26"/>
        <v>147.3156120895847</v>
      </c>
      <c r="F67" s="257">
        <f t="shared" si="26"/>
        <v>206.26027397260279</v>
      </c>
      <c r="G67" s="257">
        <f t="shared" si="26"/>
        <v>191.90486019891162</v>
      </c>
      <c r="H67" s="257">
        <f t="shared" si="26"/>
        <v>179.91808969787957</v>
      </c>
    </row>
    <row r="68" spans="1:19">
      <c r="A68" s="234" t="s">
        <v>150</v>
      </c>
      <c r="B68" s="257">
        <f t="shared" ref="B68:H68" si="27">B36+B38-B24</f>
        <v>41</v>
      </c>
      <c r="C68" s="257">
        <f t="shared" si="27"/>
        <v>64</v>
      </c>
      <c r="D68" s="257">
        <f t="shared" si="27"/>
        <v>80</v>
      </c>
      <c r="E68" s="257">
        <f t="shared" si="27"/>
        <v>116.3156120895847</v>
      </c>
      <c r="F68" s="257">
        <f t="shared" si="27"/>
        <v>175.26027397260279</v>
      </c>
      <c r="G68" s="257">
        <f t="shared" si="27"/>
        <v>173.23362732219928</v>
      </c>
      <c r="H68" s="257">
        <f t="shared" si="27"/>
        <v>171.54137736911244</v>
      </c>
    </row>
    <row r="69" spans="1:19">
      <c r="A69" s="234" t="s">
        <v>110</v>
      </c>
      <c r="B69" s="257">
        <f t="shared" ref="B69:H69" si="28">B41</f>
        <v>14</v>
      </c>
      <c r="C69" s="257">
        <f t="shared" si="28"/>
        <v>25</v>
      </c>
      <c r="D69" s="257">
        <f t="shared" si="28"/>
        <v>31</v>
      </c>
      <c r="E69" s="257">
        <f t="shared" si="28"/>
        <v>31</v>
      </c>
      <c r="F69" s="257">
        <f t="shared" si="28"/>
        <v>31</v>
      </c>
      <c r="G69" s="257">
        <f t="shared" si="28"/>
        <v>18.671232876712327</v>
      </c>
      <c r="H69" s="257">
        <f t="shared" si="28"/>
        <v>8.3767123287671215</v>
      </c>
    </row>
    <row r="71" spans="1:19" s="230" customFormat="1">
      <c r="A71" s="234" t="s">
        <v>147</v>
      </c>
      <c r="B71" s="257">
        <f>B10*(1-34%)</f>
        <v>16.004999999999999</v>
      </c>
      <c r="C71" s="257">
        <f t="shared" ref="C71:H71" si="29">C10*(1-34%)</f>
        <v>19.139999999999997</v>
      </c>
      <c r="D71" s="257">
        <f t="shared" si="29"/>
        <v>26.4</v>
      </c>
      <c r="E71" s="257">
        <f t="shared" si="29"/>
        <v>39.599999999999994</v>
      </c>
      <c r="F71" s="257">
        <f t="shared" si="29"/>
        <v>39.599999999999994</v>
      </c>
      <c r="G71" s="257">
        <f t="shared" si="29"/>
        <v>31.463013698630139</v>
      </c>
      <c r="H71" s="257">
        <f t="shared" si="29"/>
        <v>24.66863013698628</v>
      </c>
      <c r="R71" s="233"/>
      <c r="S71" s="233"/>
    </row>
    <row r="72" spans="1:19" s="230" customFormat="1">
      <c r="A72" s="234" t="s">
        <v>6</v>
      </c>
      <c r="B72" s="260">
        <f t="shared" ref="B72:H72" si="30">B71/B67</f>
        <v>0.29099999999999998</v>
      </c>
      <c r="C72" s="260">
        <f t="shared" si="30"/>
        <v>0.21505617977528085</v>
      </c>
      <c r="D72" s="260">
        <f t="shared" si="30"/>
        <v>0.23783783783783782</v>
      </c>
      <c r="E72" s="260">
        <f t="shared" si="30"/>
        <v>0.2688106130660386</v>
      </c>
      <c r="F72" s="260">
        <f t="shared" si="30"/>
        <v>0.19199043634190072</v>
      </c>
      <c r="G72" s="260">
        <f t="shared" si="30"/>
        <v>0.16395110403154126</v>
      </c>
      <c r="H72" s="260">
        <f t="shared" si="30"/>
        <v>0.13711033825675958</v>
      </c>
      <c r="R72" s="233"/>
      <c r="S72" s="233"/>
    </row>
    <row r="73" spans="1:19">
      <c r="A73" s="237" t="s">
        <v>7</v>
      </c>
      <c r="B73" s="261">
        <v>0.14373502251637554</v>
      </c>
      <c r="C73" s="261">
        <v>0.1807452601633078</v>
      </c>
      <c r="D73" s="261">
        <v>0.16822550253502497</v>
      </c>
      <c r="E73" s="261">
        <v>0.12307559500489718</v>
      </c>
      <c r="F73" s="261">
        <v>0.17</v>
      </c>
      <c r="G73" s="261">
        <v>0.17100000000000001</v>
      </c>
      <c r="H73" s="261">
        <v>0.17199999999999999</v>
      </c>
    </row>
    <row r="74" spans="1:19">
      <c r="A74" s="234" t="s">
        <v>151</v>
      </c>
      <c r="B74" s="260">
        <f t="shared" ref="B74:H74" si="31">B18/B41</f>
        <v>0.78294857142857144</v>
      </c>
      <c r="C74" s="260">
        <f t="shared" si="31"/>
        <v>0.38132159999999998</v>
      </c>
      <c r="D74" s="260">
        <f t="shared" si="31"/>
        <v>0.45263225806451618</v>
      </c>
      <c r="E74" s="260">
        <f t="shared" si="31"/>
        <v>0.71375326620794133</v>
      </c>
      <c r="F74" s="260">
        <f t="shared" si="31"/>
        <v>0.44644873177198402</v>
      </c>
      <c r="G74" s="260">
        <f t="shared" si="31"/>
        <v>0.32069817827314906</v>
      </c>
      <c r="H74" s="260">
        <f t="shared" si="31"/>
        <v>-6.7885427032115017E-2</v>
      </c>
    </row>
    <row r="75" spans="1:19">
      <c r="A75" s="237" t="s">
        <v>503</v>
      </c>
      <c r="B75" s="261">
        <v>0.25418009006550224</v>
      </c>
      <c r="C75" s="261">
        <v>0.31906104065323126</v>
      </c>
      <c r="D75" s="261">
        <v>0.25116201014009998</v>
      </c>
      <c r="E75" s="261">
        <v>0.19827238001958869</v>
      </c>
      <c r="F75" s="261">
        <v>0.33700000000000002</v>
      </c>
      <c r="G75" s="261">
        <v>0.44400000000000001</v>
      </c>
      <c r="H75" s="261">
        <v>0.76700000000000002</v>
      </c>
    </row>
    <row r="77" spans="1:19">
      <c r="A77" s="232" t="s">
        <v>602</v>
      </c>
      <c r="B77" s="248">
        <v>0.16200000000000001</v>
      </c>
      <c r="C77" s="248">
        <v>0.20400000000000001</v>
      </c>
      <c r="D77" s="248">
        <v>0.21299999999999997</v>
      </c>
      <c r="E77" s="248">
        <f>D77</f>
        <v>0.21299999999999997</v>
      </c>
      <c r="F77" s="248">
        <f>E77</f>
        <v>0.21299999999999997</v>
      </c>
      <c r="G77" s="248">
        <f>F77</f>
        <v>0.21299999999999997</v>
      </c>
      <c r="H77" s="248">
        <f>G77</f>
        <v>0.21299999999999997</v>
      </c>
    </row>
    <row r="78" spans="1:19">
      <c r="A78" s="232" t="s">
        <v>148</v>
      </c>
      <c r="B78" s="246">
        <f t="shared" ref="B78:H78" si="32">B77*B68</f>
        <v>6.6420000000000003</v>
      </c>
      <c r="C78" s="246">
        <f t="shared" si="32"/>
        <v>13.056000000000001</v>
      </c>
      <c r="D78" s="246">
        <f t="shared" si="32"/>
        <v>17.04</v>
      </c>
      <c r="E78" s="246">
        <f t="shared" si="32"/>
        <v>24.77522537508154</v>
      </c>
      <c r="F78" s="246">
        <f t="shared" si="32"/>
        <v>37.330438356164386</v>
      </c>
      <c r="G78" s="246">
        <f t="shared" si="32"/>
        <v>36.898762619628442</v>
      </c>
      <c r="H78" s="246">
        <f t="shared" si="32"/>
        <v>36.538313379620945</v>
      </c>
    </row>
    <row r="79" spans="1:19">
      <c r="A79" s="232" t="s">
        <v>149</v>
      </c>
      <c r="B79" s="249">
        <f t="shared" ref="B79:H79" si="33">B68/B67</f>
        <v>0.74545454545454548</v>
      </c>
      <c r="C79" s="249">
        <f t="shared" si="33"/>
        <v>0.7191011235955056</v>
      </c>
      <c r="D79" s="249">
        <f t="shared" si="33"/>
        <v>0.72072072072072069</v>
      </c>
      <c r="E79" s="249">
        <f t="shared" si="33"/>
        <v>0.78956744936749501</v>
      </c>
      <c r="F79" s="249">
        <f t="shared" si="33"/>
        <v>0.84970445639901715</v>
      </c>
      <c r="G79" s="249">
        <f t="shared" si="33"/>
        <v>0.90270578422370651</v>
      </c>
      <c r="H79" s="249">
        <f t="shared" si="33"/>
        <v>0.95344152251264236</v>
      </c>
    </row>
    <row r="81" spans="1:19" s="230" customFormat="1">
      <c r="A81" s="230" t="s">
        <v>603</v>
      </c>
      <c r="B81" s="250">
        <f t="shared" ref="B81:H81" si="34">B68/B12</f>
        <v>1.6734693877551021</v>
      </c>
      <c r="C81" s="250">
        <f t="shared" si="34"/>
        <v>2.1843003412969284</v>
      </c>
      <c r="D81" s="250">
        <f t="shared" si="34"/>
        <v>1.9801980198019802</v>
      </c>
      <c r="E81" s="250">
        <f t="shared" si="34"/>
        <v>1.9257551670461044</v>
      </c>
      <c r="F81" s="250">
        <f t="shared" si="34"/>
        <v>2.9016601651093179</v>
      </c>
      <c r="G81" s="250">
        <f t="shared" si="34"/>
        <v>3.6036859667504118</v>
      </c>
      <c r="H81" s="250">
        <f t="shared" si="34"/>
        <v>4.5409292337619087</v>
      </c>
      <c r="R81" s="233"/>
      <c r="S81" s="233"/>
    </row>
  </sheetData>
  <mergeCells count="6">
    <mergeCell ref="A2:E2"/>
    <mergeCell ref="F3:H3"/>
    <mergeCell ref="F43:H43"/>
    <mergeCell ref="A58:E58"/>
    <mergeCell ref="F58:H58"/>
    <mergeCell ref="F21:H21"/>
  </mergeCells>
  <pageMargins left="0.75000000000000011" right="0.75000000000000011" top="1" bottom="1" header="0.5" footer="0.5"/>
  <pageSetup paperSize="9" scale="58" orientation="portrait" horizontalDpi="4294967292" verticalDpi="4294967292"/>
  <rowBreaks count="1" manualBreakCount="1">
    <brk id="42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47D53-7B67-4688-BE47-BEE2753A7679}">
  <sheetPr>
    <pageSetUpPr fitToPage="1"/>
  </sheetPr>
  <dimension ref="A1:AA70"/>
  <sheetViews>
    <sheetView showGridLines="0" topLeftCell="G1" zoomScale="49" zoomScaleNormal="49" workbookViewId="0">
      <selection activeCell="A27" sqref="A27"/>
    </sheetView>
  </sheetViews>
  <sheetFormatPr defaultColWidth="8.125" defaultRowHeight="13.5"/>
  <cols>
    <col min="1" max="1" width="15.625" style="272" customWidth="1"/>
    <col min="2" max="3" width="9.625" style="273" customWidth="1"/>
    <col min="4" max="4" width="9.625" style="264" customWidth="1"/>
    <col min="5" max="6" width="9.625" style="273" customWidth="1"/>
    <col min="7" max="8" width="9.625" style="264" customWidth="1"/>
    <col min="9" max="9" width="15.625" style="272" customWidth="1"/>
    <col min="10" max="10" width="8.125" style="271"/>
    <col min="11" max="11" width="9.625" style="301" customWidth="1"/>
    <col min="12" max="12" width="7.5" style="271" customWidth="1"/>
    <col min="13" max="13" width="9.375" style="267" customWidth="1"/>
    <col min="14" max="14" width="9.875" style="271" customWidth="1"/>
    <col min="15" max="15" width="10.375" style="271" customWidth="1"/>
    <col min="16" max="16" width="10.375" style="301" customWidth="1"/>
    <col min="17" max="18" width="9.5" style="273" customWidth="1"/>
    <col min="19" max="19" width="9.5" style="296" customWidth="1"/>
    <col min="20" max="20" width="9.5" style="273" customWidth="1"/>
    <col min="21" max="21" width="8.125" style="296"/>
    <col min="22" max="22" width="8.125" style="271"/>
    <col min="23" max="23" width="11.375" style="272" bestFit="1" customWidth="1"/>
    <col min="24" max="24" width="12.625" style="272" bestFit="1" customWidth="1"/>
    <col min="25" max="26" width="10.375" style="271" customWidth="1"/>
    <col min="27" max="27" width="10.375" style="263" customWidth="1"/>
    <col min="28" max="16384" width="8.125" style="272"/>
  </cols>
  <sheetData>
    <row r="1" spans="1:27" s="268" customFormat="1">
      <c r="A1" s="272"/>
      <c r="B1" s="606">
        <v>2023</v>
      </c>
      <c r="C1" s="606"/>
      <c r="D1" s="606"/>
      <c r="E1" s="606"/>
      <c r="F1" s="606"/>
      <c r="G1" s="606"/>
      <c r="H1" s="288"/>
      <c r="I1" s="272"/>
      <c r="J1" s="607" t="s">
        <v>615</v>
      </c>
      <c r="K1" s="607"/>
      <c r="L1" s="607"/>
      <c r="M1" s="607"/>
      <c r="N1" s="607"/>
      <c r="O1" s="607"/>
      <c r="P1" s="607"/>
      <c r="Q1" s="605">
        <f>B1+5</f>
        <v>2028</v>
      </c>
      <c r="R1" s="605"/>
      <c r="S1" s="605"/>
      <c r="T1" s="605"/>
      <c r="U1" s="605"/>
      <c r="V1" s="267"/>
      <c r="Y1" s="267"/>
      <c r="Z1" s="267"/>
      <c r="AA1" s="263"/>
    </row>
    <row r="2" spans="1:27" s="269" customFormat="1">
      <c r="A2" s="269" t="s">
        <v>312</v>
      </c>
      <c r="B2" s="285" t="s">
        <v>621</v>
      </c>
      <c r="C2" s="285" t="s">
        <v>133</v>
      </c>
      <c r="D2" s="286" t="s">
        <v>439</v>
      </c>
      <c r="E2" s="285" t="s">
        <v>9</v>
      </c>
      <c r="F2" s="285" t="s">
        <v>622</v>
      </c>
      <c r="G2" s="286" t="s">
        <v>6</v>
      </c>
      <c r="H2" s="266"/>
      <c r="I2" s="269" t="s">
        <v>312</v>
      </c>
      <c r="J2" s="603" t="s">
        <v>616</v>
      </c>
      <c r="K2" s="603"/>
      <c r="L2" s="304" t="s">
        <v>617</v>
      </c>
      <c r="M2" s="303" t="s">
        <v>622</v>
      </c>
      <c r="N2" s="286" t="s">
        <v>439</v>
      </c>
      <c r="O2" s="603" t="s">
        <v>625</v>
      </c>
      <c r="P2" s="603"/>
      <c r="Q2" s="284" t="s">
        <v>621</v>
      </c>
      <c r="R2" s="284" t="s">
        <v>133</v>
      </c>
      <c r="S2" s="305" t="s">
        <v>439</v>
      </c>
      <c r="T2" s="284" t="s">
        <v>9</v>
      </c>
      <c r="U2" s="305" t="s">
        <v>6</v>
      </c>
      <c r="Y2" s="270" t="s">
        <v>133</v>
      </c>
      <c r="Z2" s="270" t="s">
        <v>439</v>
      </c>
      <c r="AA2" s="318" t="s">
        <v>440</v>
      </c>
    </row>
    <row r="3" spans="1:27" ht="12.95" customHeight="1">
      <c r="A3" s="604" t="s">
        <v>624</v>
      </c>
      <c r="B3" s="604"/>
      <c r="C3" s="604"/>
      <c r="D3" s="604"/>
      <c r="E3" s="604"/>
      <c r="F3" s="604"/>
      <c r="G3" s="604"/>
      <c r="H3" s="289"/>
      <c r="I3" s="276" t="s">
        <v>624</v>
      </c>
      <c r="J3" s="306" t="s">
        <v>618</v>
      </c>
      <c r="K3" s="307" t="s">
        <v>298</v>
      </c>
      <c r="L3" s="306" t="s">
        <v>619</v>
      </c>
      <c r="M3" s="308">
        <f>Q1</f>
        <v>2028</v>
      </c>
      <c r="N3" s="306" t="s">
        <v>618</v>
      </c>
      <c r="O3" s="306" t="s">
        <v>618</v>
      </c>
      <c r="P3" s="307" t="s">
        <v>298</v>
      </c>
      <c r="Q3" s="290">
        <v>2</v>
      </c>
      <c r="R3" s="291">
        <v>4</v>
      </c>
      <c r="S3" s="292">
        <v>5</v>
      </c>
      <c r="T3" s="291">
        <v>12</v>
      </c>
      <c r="U3" s="292">
        <v>16</v>
      </c>
      <c r="X3" s="272" t="str">
        <f>I3</f>
        <v>Eqptos Elevação</v>
      </c>
      <c r="Y3" s="273">
        <f>C8</f>
        <v>140</v>
      </c>
      <c r="Z3" s="264">
        <f t="shared" ref="Z3" si="0">D8</f>
        <v>0.4375</v>
      </c>
      <c r="AA3" s="263">
        <f>G8</f>
        <v>0.16442394014962594</v>
      </c>
    </row>
    <row r="4" spans="1:27">
      <c r="A4" s="277" t="s">
        <v>314</v>
      </c>
      <c r="B4" s="278">
        <v>150</v>
      </c>
      <c r="C4" s="278">
        <v>75</v>
      </c>
      <c r="D4" s="279">
        <f>C4/B4</f>
        <v>0.5</v>
      </c>
      <c r="E4" s="278">
        <f>(C4-(10%*F4))*(1-34%)</f>
        <v>36.299999999999997</v>
      </c>
      <c r="F4" s="278">
        <v>200</v>
      </c>
      <c r="G4" s="279">
        <f>E4/F4</f>
        <v>0.18149999999999999</v>
      </c>
      <c r="I4" s="277" t="s">
        <v>314</v>
      </c>
      <c r="J4" s="309">
        <v>0.1</v>
      </c>
      <c r="K4" s="310">
        <f>POWER(1+J4,5)</f>
        <v>1.6105100000000006</v>
      </c>
      <c r="L4" s="311">
        <v>0</v>
      </c>
      <c r="M4" s="312">
        <f>IF(L4=1,0,F4*K4)</f>
        <v>322.10200000000009</v>
      </c>
      <c r="N4" s="309">
        <f>D4</f>
        <v>0.5</v>
      </c>
      <c r="O4" s="309">
        <f>J4</f>
        <v>0.1</v>
      </c>
      <c r="P4" s="310">
        <f>POWER(1+O4,5)</f>
        <v>1.6105100000000006</v>
      </c>
      <c r="Q4" s="312">
        <f>IF(M4=0,0,B4*P4)</f>
        <v>241.5765000000001</v>
      </c>
      <c r="R4" s="312">
        <f>S4*Q4</f>
        <v>120.78825000000005</v>
      </c>
      <c r="S4" s="124">
        <f>N4</f>
        <v>0.5</v>
      </c>
      <c r="T4" s="312">
        <f>(R4-(10%*M4))*(1-34%)</f>
        <v>58.461513000000025</v>
      </c>
      <c r="U4" s="124">
        <f>IF(M4=0,0,T4/M4)</f>
        <v>0.18150000000000002</v>
      </c>
      <c r="X4" s="272" t="str">
        <f t="shared" ref="X4:X7" si="1">I4</f>
        <v>SP</v>
      </c>
      <c r="Y4" s="273">
        <f>C4</f>
        <v>75</v>
      </c>
      <c r="Z4" s="264">
        <f t="shared" ref="Z4:Z7" si="2">D4</f>
        <v>0.5</v>
      </c>
      <c r="AA4" s="263">
        <f>G4</f>
        <v>0.18149999999999999</v>
      </c>
    </row>
    <row r="5" spans="1:27">
      <c r="A5" s="277" t="s">
        <v>315</v>
      </c>
      <c r="B5" s="278">
        <v>100</v>
      </c>
      <c r="C5" s="278">
        <v>40</v>
      </c>
      <c r="D5" s="279">
        <f t="shared" ref="D5:D8" si="3">C5/B5</f>
        <v>0.4</v>
      </c>
      <c r="E5" s="278">
        <f t="shared" ref="E5:E7" si="4">(C5-(10%*F5))*(1-34%)</f>
        <v>19.799999999999997</v>
      </c>
      <c r="F5" s="278">
        <v>100</v>
      </c>
      <c r="G5" s="279">
        <f t="shared" ref="G5:G8" si="5">E5/F5</f>
        <v>0.19799999999999998</v>
      </c>
      <c r="I5" s="277" t="s">
        <v>315</v>
      </c>
      <c r="J5" s="309">
        <v>0.1</v>
      </c>
      <c r="K5" s="310">
        <f>POWER(1+J5,5)</f>
        <v>1.6105100000000006</v>
      </c>
      <c r="L5" s="311">
        <v>0</v>
      </c>
      <c r="M5" s="312">
        <f>IF(L5=1,0,F5*K5)</f>
        <v>161.05100000000004</v>
      </c>
      <c r="N5" s="309">
        <f>D5</f>
        <v>0.4</v>
      </c>
      <c r="O5" s="309">
        <f>J5</f>
        <v>0.1</v>
      </c>
      <c r="P5" s="310">
        <f t="shared" ref="P5:P21" si="6">POWER(1+O5,5)</f>
        <v>1.6105100000000006</v>
      </c>
      <c r="Q5" s="312">
        <f>IF(M5=0,0,B5*P5)</f>
        <v>161.05100000000004</v>
      </c>
      <c r="R5" s="312">
        <f t="shared" ref="R5:R21" si="7">S5*Q5</f>
        <v>64.420400000000015</v>
      </c>
      <c r="S5" s="124">
        <f>N5</f>
        <v>0.4</v>
      </c>
      <c r="T5" s="312">
        <f>(R5-(10%*M5))*(1-34%)</f>
        <v>31.888098000000003</v>
      </c>
      <c r="U5" s="124">
        <f>IF(M5=0,0,T5/M5)</f>
        <v>0.19799999999999995</v>
      </c>
      <c r="X5" s="272" t="str">
        <f t="shared" si="1"/>
        <v>MG</v>
      </c>
      <c r="Y5" s="273">
        <f t="shared" ref="Y5:Y7" si="8">C5</f>
        <v>40</v>
      </c>
      <c r="Z5" s="264">
        <f t="shared" si="2"/>
        <v>0.4</v>
      </c>
      <c r="AA5" s="263">
        <f t="shared" ref="AA5:AA7" si="9">G5</f>
        <v>0.19799999999999998</v>
      </c>
    </row>
    <row r="6" spans="1:27">
      <c r="A6" s="277" t="s">
        <v>316</v>
      </c>
      <c r="B6" s="278">
        <v>30</v>
      </c>
      <c r="C6" s="278">
        <v>15</v>
      </c>
      <c r="D6" s="279">
        <f t="shared" si="3"/>
        <v>0.5</v>
      </c>
      <c r="E6" s="278">
        <f t="shared" si="4"/>
        <v>6.6</v>
      </c>
      <c r="F6" s="278">
        <v>50</v>
      </c>
      <c r="G6" s="279">
        <f t="shared" si="5"/>
        <v>0.13200000000000001</v>
      </c>
      <c r="I6" s="277" t="s">
        <v>316</v>
      </c>
      <c r="J6" s="309">
        <v>0.15</v>
      </c>
      <c r="K6" s="310">
        <f>POWER(1+J6,5)</f>
        <v>2.0113571874999994</v>
      </c>
      <c r="L6" s="311">
        <v>0</v>
      </c>
      <c r="M6" s="312">
        <f>IF(L6=1,0,F6*K6)</f>
        <v>100.56785937499997</v>
      </c>
      <c r="N6" s="309">
        <f>D6</f>
        <v>0.5</v>
      </c>
      <c r="O6" s="309">
        <f>J6</f>
        <v>0.15</v>
      </c>
      <c r="P6" s="310">
        <f t="shared" si="6"/>
        <v>2.0113571874999994</v>
      </c>
      <c r="Q6" s="312">
        <f>IF(M6=0,0,B6*P6)</f>
        <v>60.34071562499998</v>
      </c>
      <c r="R6" s="312">
        <f t="shared" si="7"/>
        <v>30.17035781249999</v>
      </c>
      <c r="S6" s="124">
        <f>N6</f>
        <v>0.5</v>
      </c>
      <c r="T6" s="312">
        <f>(R6-(10%*M6))*(1-34%)</f>
        <v>13.274957437499992</v>
      </c>
      <c r="U6" s="124">
        <f>IF(M6=0,0,T6/M6)</f>
        <v>0.13199999999999995</v>
      </c>
      <c r="X6" s="272" t="str">
        <f t="shared" si="1"/>
        <v>MS</v>
      </c>
      <c r="Y6" s="273">
        <f t="shared" si="8"/>
        <v>15</v>
      </c>
      <c r="Z6" s="264">
        <f t="shared" si="2"/>
        <v>0.5</v>
      </c>
      <c r="AA6" s="263">
        <f t="shared" si="9"/>
        <v>0.13200000000000001</v>
      </c>
    </row>
    <row r="7" spans="1:27">
      <c r="A7" s="277" t="s">
        <v>317</v>
      </c>
      <c r="B7" s="278">
        <v>40</v>
      </c>
      <c r="C7" s="278">
        <v>10</v>
      </c>
      <c r="D7" s="279">
        <f t="shared" si="3"/>
        <v>0.25</v>
      </c>
      <c r="E7" s="278">
        <f t="shared" si="4"/>
        <v>3.2339999999999991</v>
      </c>
      <c r="F7" s="278">
        <v>51</v>
      </c>
      <c r="G7" s="279">
        <f t="shared" si="5"/>
        <v>6.3411764705882334E-2</v>
      </c>
      <c r="I7" s="277" t="s">
        <v>317</v>
      </c>
      <c r="J7" s="309">
        <v>0.05</v>
      </c>
      <c r="K7" s="310">
        <f>POWER(1+J7,5)</f>
        <v>1.2762815625000001</v>
      </c>
      <c r="L7" s="311">
        <v>0</v>
      </c>
      <c r="M7" s="312">
        <f>IF(L7=1,0,F7*K7)</f>
        <v>65.090359687500012</v>
      </c>
      <c r="N7" s="309">
        <f>D7</f>
        <v>0.25</v>
      </c>
      <c r="O7" s="309">
        <f>J7</f>
        <v>0.05</v>
      </c>
      <c r="P7" s="310">
        <f t="shared" si="6"/>
        <v>1.2762815625000001</v>
      </c>
      <c r="Q7" s="312">
        <f>IF(M7=0,0,B7*P7)</f>
        <v>51.051262500000007</v>
      </c>
      <c r="R7" s="312">
        <f t="shared" si="7"/>
        <v>12.762815625000002</v>
      </c>
      <c r="S7" s="124">
        <f>N7</f>
        <v>0.25</v>
      </c>
      <c r="T7" s="312">
        <f>(R7-(10%*M7))*(1-34%)</f>
        <v>4.1274945731249995</v>
      </c>
      <c r="U7" s="124">
        <f>IF(M7=0,0,T7/M7)</f>
        <v>6.3411764705882334E-2</v>
      </c>
      <c r="X7" s="272" t="str">
        <f t="shared" si="1"/>
        <v>BA</v>
      </c>
      <c r="Y7" s="273">
        <f t="shared" si="8"/>
        <v>10</v>
      </c>
      <c r="Z7" s="264">
        <f t="shared" si="2"/>
        <v>0.25</v>
      </c>
      <c r="AA7" s="263">
        <f t="shared" si="9"/>
        <v>6.3411764705882334E-2</v>
      </c>
    </row>
    <row r="8" spans="1:27">
      <c r="A8" s="280" t="s">
        <v>623</v>
      </c>
      <c r="B8" s="281">
        <f>SUM(B4:B7)</f>
        <v>320</v>
      </c>
      <c r="C8" s="281">
        <f t="shared" ref="C8:F8" si="10">SUM(C4:C7)</f>
        <v>140</v>
      </c>
      <c r="D8" s="282">
        <f t="shared" si="3"/>
        <v>0.4375</v>
      </c>
      <c r="E8" s="281">
        <f t="shared" si="10"/>
        <v>65.933999999999997</v>
      </c>
      <c r="F8" s="281">
        <f t="shared" si="10"/>
        <v>401</v>
      </c>
      <c r="G8" s="282">
        <f t="shared" si="5"/>
        <v>0.16442394014962594</v>
      </c>
      <c r="H8" s="266"/>
      <c r="I8" s="280" t="s">
        <v>623</v>
      </c>
      <c r="J8" s="313"/>
      <c r="K8" s="314"/>
      <c r="L8" s="315"/>
      <c r="M8" s="316">
        <f>SUM(M4:M7)</f>
        <v>648.81121906250019</v>
      </c>
      <c r="N8" s="313"/>
      <c r="O8" s="313"/>
      <c r="P8" s="314"/>
      <c r="Q8" s="316">
        <f t="shared" ref="Q8:R8" si="11">SUM(Q4:Q7)</f>
        <v>514.01947812500021</v>
      </c>
      <c r="R8" s="316">
        <f t="shared" si="11"/>
        <v>228.14182343750005</v>
      </c>
      <c r="S8" s="305">
        <f>R8/Q8</f>
        <v>0.44383886826564983</v>
      </c>
      <c r="T8" s="316">
        <f t="shared" ref="T8" si="12">SUM(T4:T7)</f>
        <v>107.75206301062502</v>
      </c>
      <c r="U8" s="305">
        <f>T8/M8</f>
        <v>0.16607614024665199</v>
      </c>
      <c r="X8" s="272" t="str">
        <f>I10</f>
        <v>Empilhadeiras</v>
      </c>
      <c r="Y8" s="273">
        <f>C15</f>
        <v>172</v>
      </c>
      <c r="Z8" s="264">
        <f t="shared" ref="Z8" si="13">D15</f>
        <v>0.28666666666666668</v>
      </c>
      <c r="AA8" s="263">
        <f>G15</f>
        <v>9.9722627737226233E-2</v>
      </c>
    </row>
    <row r="9" spans="1:27">
      <c r="A9" s="269"/>
      <c r="B9" s="265"/>
      <c r="C9" s="265"/>
      <c r="D9" s="266"/>
      <c r="E9" s="265"/>
      <c r="F9" s="265"/>
      <c r="G9" s="266"/>
      <c r="H9" s="266"/>
      <c r="I9" s="269"/>
      <c r="J9" s="297"/>
      <c r="L9" s="294"/>
      <c r="M9" s="295"/>
      <c r="N9" s="293"/>
      <c r="O9" s="293"/>
      <c r="Q9" s="295"/>
      <c r="R9" s="295"/>
      <c r="T9" s="295"/>
      <c r="X9" s="272" t="str">
        <f>I11</f>
        <v>SP</v>
      </c>
      <c r="Y9" s="273">
        <f>C11</f>
        <v>50</v>
      </c>
      <c r="Z9" s="264">
        <f t="shared" ref="Z9:Z12" si="14">D11</f>
        <v>0.25</v>
      </c>
      <c r="AA9" s="263">
        <f>G11</f>
        <v>6.5999999999999989E-2</v>
      </c>
    </row>
    <row r="10" spans="1:27">
      <c r="A10" s="604" t="s">
        <v>318</v>
      </c>
      <c r="B10" s="604"/>
      <c r="C10" s="604"/>
      <c r="D10" s="604"/>
      <c r="E10" s="604"/>
      <c r="F10" s="604"/>
      <c r="G10" s="604"/>
      <c r="H10" s="289"/>
      <c r="I10" s="276" t="s">
        <v>318</v>
      </c>
      <c r="J10" s="293"/>
      <c r="L10" s="294"/>
      <c r="M10" s="295"/>
      <c r="N10" s="293"/>
      <c r="O10" s="293"/>
      <c r="Q10" s="295"/>
      <c r="R10" s="295"/>
      <c r="T10" s="295"/>
      <c r="X10" s="272" t="str">
        <f>I12</f>
        <v>MG</v>
      </c>
      <c r="Y10" s="273">
        <f t="shared" ref="Y10:Y12" si="15">C12</f>
        <v>100</v>
      </c>
      <c r="Z10" s="264">
        <f t="shared" si="14"/>
        <v>0.33333333333333331</v>
      </c>
      <c r="AA10" s="263">
        <f t="shared" ref="AA10:AA12" si="16">G12</f>
        <v>0.19799999999999998</v>
      </c>
    </row>
    <row r="11" spans="1:27">
      <c r="A11" s="277" t="s">
        <v>314</v>
      </c>
      <c r="B11" s="278">
        <v>200</v>
      </c>
      <c r="C11" s="278">
        <v>50</v>
      </c>
      <c r="D11" s="279">
        <f>C11/B11</f>
        <v>0.25</v>
      </c>
      <c r="E11" s="278">
        <f>(C11-(10%*F11))*(1-34%)</f>
        <v>16.499999999999996</v>
      </c>
      <c r="F11" s="278">
        <v>250</v>
      </c>
      <c r="G11" s="279">
        <f>E11/F11</f>
        <v>6.5999999999999989E-2</v>
      </c>
      <c r="I11" s="277" t="s">
        <v>314</v>
      </c>
      <c r="J11" s="309">
        <v>0.05</v>
      </c>
      <c r="K11" s="310">
        <f>POWER(1+J11,5)</f>
        <v>1.2762815625000001</v>
      </c>
      <c r="L11" s="311">
        <v>0</v>
      </c>
      <c r="M11" s="312">
        <f>IF(L11=1,0,F11*K11)</f>
        <v>319.07039062500002</v>
      </c>
      <c r="N11" s="309">
        <f>D11</f>
        <v>0.25</v>
      </c>
      <c r="O11" s="309">
        <f>J11</f>
        <v>0.05</v>
      </c>
      <c r="P11" s="310">
        <f t="shared" si="6"/>
        <v>1.2762815625000001</v>
      </c>
      <c r="Q11" s="312">
        <f>IF(M11=0,0,B11*P11)</f>
        <v>255.25631250000004</v>
      </c>
      <c r="R11" s="312">
        <f t="shared" si="7"/>
        <v>63.814078125000009</v>
      </c>
      <c r="S11" s="124">
        <f>N11</f>
        <v>0.25</v>
      </c>
      <c r="T11" s="312">
        <f>(R11-(10%*M11))*(1-34%)</f>
        <v>21.05864578125</v>
      </c>
      <c r="U11" s="124">
        <f>IF(M11=0,0,T11/M11)</f>
        <v>6.6000000000000003E-2</v>
      </c>
      <c r="X11" s="272" t="str">
        <f>I13</f>
        <v>MS</v>
      </c>
      <c r="Y11" s="273">
        <f t="shared" si="15"/>
        <v>12</v>
      </c>
      <c r="Z11" s="264">
        <f t="shared" si="14"/>
        <v>0.24</v>
      </c>
      <c r="AA11" s="263">
        <f t="shared" si="16"/>
        <v>1.3199999999999998E-2</v>
      </c>
    </row>
    <row r="12" spans="1:27">
      <c r="A12" s="277" t="s">
        <v>315</v>
      </c>
      <c r="B12" s="278">
        <v>300</v>
      </c>
      <c r="C12" s="278">
        <v>100</v>
      </c>
      <c r="D12" s="279">
        <f t="shared" ref="D12:D15" si="17">C12/B12</f>
        <v>0.33333333333333331</v>
      </c>
      <c r="E12" s="278">
        <f t="shared" ref="E12:E14" si="18">(C12-(10%*F12))*(1-34%)</f>
        <v>49.499999999999993</v>
      </c>
      <c r="F12" s="278">
        <v>250</v>
      </c>
      <c r="G12" s="279">
        <f t="shared" ref="G12:G15" si="19">E12/F12</f>
        <v>0.19799999999999998</v>
      </c>
      <c r="I12" s="277" t="s">
        <v>315</v>
      </c>
      <c r="J12" s="309">
        <v>0</v>
      </c>
      <c r="K12" s="310">
        <f>POWER(1+J12,5)</f>
        <v>1</v>
      </c>
      <c r="L12" s="311">
        <v>0</v>
      </c>
      <c r="M12" s="312">
        <f>IF(L12=1,0,F12*K12)</f>
        <v>250</v>
      </c>
      <c r="N12" s="309">
        <f>D12</f>
        <v>0.33333333333333331</v>
      </c>
      <c r="O12" s="309">
        <f>J12</f>
        <v>0</v>
      </c>
      <c r="P12" s="310">
        <f t="shared" si="6"/>
        <v>1</v>
      </c>
      <c r="Q12" s="312">
        <f>IF(M12=0,0,B12*P12)</f>
        <v>300</v>
      </c>
      <c r="R12" s="312">
        <f t="shared" si="7"/>
        <v>100</v>
      </c>
      <c r="S12" s="124">
        <f>N12</f>
        <v>0.33333333333333331</v>
      </c>
      <c r="T12" s="312">
        <f>(R12-(10%*M12))*(1-34%)</f>
        <v>49.499999999999993</v>
      </c>
      <c r="U12" s="124">
        <f>IF(M12=0,0,T12/M12)</f>
        <v>0.19799999999999998</v>
      </c>
      <c r="X12" s="272" t="str">
        <f>I14</f>
        <v>BA</v>
      </c>
      <c r="Y12" s="273">
        <f t="shared" si="15"/>
        <v>10</v>
      </c>
      <c r="Z12" s="264">
        <f t="shared" si="14"/>
        <v>0.2</v>
      </c>
      <c r="AA12" s="263">
        <f t="shared" si="16"/>
        <v>1.164705882352941E-2</v>
      </c>
    </row>
    <row r="13" spans="1:27">
      <c r="A13" s="277" t="s">
        <v>316</v>
      </c>
      <c r="B13" s="278">
        <v>50</v>
      </c>
      <c r="C13" s="278">
        <v>12</v>
      </c>
      <c r="D13" s="279">
        <f t="shared" si="17"/>
        <v>0.24</v>
      </c>
      <c r="E13" s="278">
        <f t="shared" si="18"/>
        <v>1.3199999999999998</v>
      </c>
      <c r="F13" s="278">
        <v>100</v>
      </c>
      <c r="G13" s="279">
        <f t="shared" si="19"/>
        <v>1.3199999999999998E-2</v>
      </c>
      <c r="I13" s="277" t="s">
        <v>316</v>
      </c>
      <c r="J13" s="309">
        <v>0.05</v>
      </c>
      <c r="K13" s="310">
        <f>POWER(1+J13,5)</f>
        <v>1.2762815625000001</v>
      </c>
      <c r="L13" s="311">
        <v>0</v>
      </c>
      <c r="M13" s="312">
        <f>IF(L13=1,0,F13*K13)</f>
        <v>127.62815625000002</v>
      </c>
      <c r="N13" s="309">
        <f>D13</f>
        <v>0.24</v>
      </c>
      <c r="O13" s="309">
        <f>J13</f>
        <v>0.05</v>
      </c>
      <c r="P13" s="310">
        <f t="shared" si="6"/>
        <v>1.2762815625000001</v>
      </c>
      <c r="Q13" s="312">
        <f>IF(M13=0,0,B13*P13)</f>
        <v>63.814078125000009</v>
      </c>
      <c r="R13" s="312">
        <f t="shared" si="7"/>
        <v>15.315378750000001</v>
      </c>
      <c r="S13" s="124">
        <f>N13</f>
        <v>0.24</v>
      </c>
      <c r="T13" s="312">
        <f>(R13-(10%*M13))*(1-34%)</f>
        <v>1.684691662499999</v>
      </c>
      <c r="U13" s="124">
        <f>IF(M13=0,0,T13/M13)</f>
        <v>1.3199999999999991E-2</v>
      </c>
      <c r="X13" s="272" t="str">
        <f>I17</f>
        <v>Geradores</v>
      </c>
      <c r="Y13" s="273">
        <f>C22</f>
        <v>103</v>
      </c>
      <c r="Z13" s="264">
        <f t="shared" ref="Z13" si="20">D22</f>
        <v>0.58857142857142852</v>
      </c>
      <c r="AA13" s="263">
        <f>G22</f>
        <v>0.25018604651162785</v>
      </c>
    </row>
    <row r="14" spans="1:27">
      <c r="A14" s="277" t="s">
        <v>317</v>
      </c>
      <c r="B14" s="278">
        <v>50</v>
      </c>
      <c r="C14" s="278">
        <v>10</v>
      </c>
      <c r="D14" s="279">
        <f t="shared" si="17"/>
        <v>0.2</v>
      </c>
      <c r="E14" s="278">
        <f t="shared" si="18"/>
        <v>0.98999999999999988</v>
      </c>
      <c r="F14" s="278">
        <v>85</v>
      </c>
      <c r="G14" s="279">
        <f t="shared" si="19"/>
        <v>1.164705882352941E-2</v>
      </c>
      <c r="I14" s="277" t="s">
        <v>317</v>
      </c>
      <c r="J14" s="309">
        <v>0.05</v>
      </c>
      <c r="K14" s="310">
        <f>POWER(1+J14,5)</f>
        <v>1.2762815625000001</v>
      </c>
      <c r="L14" s="311">
        <v>0</v>
      </c>
      <c r="M14" s="312">
        <f>IF(L14=1,0,F14*K14)</f>
        <v>108.48393281250002</v>
      </c>
      <c r="N14" s="309">
        <f>D14</f>
        <v>0.2</v>
      </c>
      <c r="O14" s="309">
        <f>J14</f>
        <v>0.05</v>
      </c>
      <c r="P14" s="310">
        <f t="shared" si="6"/>
        <v>1.2762815625000001</v>
      </c>
      <c r="Q14" s="312">
        <f>IF(M14=0,0,B14*P14)</f>
        <v>63.814078125000009</v>
      </c>
      <c r="R14" s="312">
        <f t="shared" si="7"/>
        <v>12.762815625000002</v>
      </c>
      <c r="S14" s="124">
        <f>N14</f>
        <v>0.2</v>
      </c>
      <c r="T14" s="312">
        <f>(R14-(10%*M14))*(1-34%)</f>
        <v>1.2635187468749993</v>
      </c>
      <c r="U14" s="124">
        <f>IF(M14=0,0,T14/M14)</f>
        <v>1.1647058823529404E-2</v>
      </c>
      <c r="X14" s="272" t="str">
        <f>I18</f>
        <v>SP</v>
      </c>
      <c r="Y14" s="273">
        <f>C18</f>
        <v>28</v>
      </c>
      <c r="Z14" s="264">
        <f t="shared" ref="Z14:Z17" si="21">D18</f>
        <v>0.56000000000000005</v>
      </c>
      <c r="AA14" s="263">
        <f>G18</f>
        <v>0.24199999999999997</v>
      </c>
    </row>
    <row r="15" spans="1:27">
      <c r="A15" s="280" t="s">
        <v>623</v>
      </c>
      <c r="B15" s="281">
        <f>SUM(B11:B14)</f>
        <v>600</v>
      </c>
      <c r="C15" s="281">
        <f t="shared" ref="C15" si="22">SUM(C11:C14)</f>
        <v>172</v>
      </c>
      <c r="D15" s="282">
        <f t="shared" si="17"/>
        <v>0.28666666666666668</v>
      </c>
      <c r="E15" s="281">
        <f t="shared" ref="E15:F15" si="23">SUM(E11:E14)</f>
        <v>68.309999999999974</v>
      </c>
      <c r="F15" s="281">
        <f t="shared" si="23"/>
        <v>685</v>
      </c>
      <c r="G15" s="282">
        <f t="shared" si="19"/>
        <v>9.9722627737226233E-2</v>
      </c>
      <c r="I15" s="280" t="s">
        <v>623</v>
      </c>
      <c r="J15" s="313"/>
      <c r="K15" s="314"/>
      <c r="L15" s="315"/>
      <c r="M15" s="316">
        <f>SUM(M11:M14)</f>
        <v>805.18247968750018</v>
      </c>
      <c r="N15" s="313"/>
      <c r="O15" s="313"/>
      <c r="P15" s="314"/>
      <c r="Q15" s="316">
        <f t="shared" ref="Q15:R15" si="24">SUM(Q11:Q14)</f>
        <v>682.88446875000011</v>
      </c>
      <c r="R15" s="316">
        <f t="shared" si="24"/>
        <v>191.89227250000002</v>
      </c>
      <c r="S15" s="305">
        <f>R15/Q15</f>
        <v>0.28100254330172886</v>
      </c>
      <c r="T15" s="316">
        <f t="shared" ref="T15" si="25">SUM(T11:T14)</f>
        <v>73.506856190624987</v>
      </c>
      <c r="U15" s="305">
        <f>T15/M15</f>
        <v>9.1292170464456424E-2</v>
      </c>
      <c r="X15" s="272" t="str">
        <f>I19</f>
        <v>MG</v>
      </c>
      <c r="Y15" s="273">
        <f t="shared" ref="Y15:Y17" si="26">C19</f>
        <v>40</v>
      </c>
      <c r="Z15" s="264">
        <f t="shared" si="21"/>
        <v>0.66666666666666663</v>
      </c>
      <c r="AA15" s="263">
        <f t="shared" ref="AA15:AA17" si="27">G19</f>
        <v>0.26399999999999996</v>
      </c>
    </row>
    <row r="16" spans="1:27">
      <c r="B16" s="262"/>
      <c r="C16" s="262"/>
      <c r="E16" s="262"/>
      <c r="F16" s="262"/>
      <c r="J16" s="297"/>
      <c r="L16" s="294"/>
      <c r="M16" s="295"/>
      <c r="N16" s="293"/>
      <c r="O16" s="293"/>
      <c r="Q16" s="295"/>
      <c r="R16" s="295"/>
      <c r="T16" s="295"/>
      <c r="X16" s="272" t="str">
        <f>I20</f>
        <v>MS</v>
      </c>
      <c r="Y16" s="273">
        <f t="shared" si="26"/>
        <v>25</v>
      </c>
      <c r="Z16" s="264">
        <f t="shared" si="21"/>
        <v>0.625</v>
      </c>
      <c r="AA16" s="263">
        <f t="shared" si="27"/>
        <v>0.30066666666666664</v>
      </c>
    </row>
    <row r="17" spans="1:27">
      <c r="A17" s="604" t="s">
        <v>319</v>
      </c>
      <c r="B17" s="604"/>
      <c r="C17" s="604"/>
      <c r="D17" s="604"/>
      <c r="E17" s="604"/>
      <c r="F17" s="604"/>
      <c r="G17" s="604"/>
      <c r="H17" s="289"/>
      <c r="I17" s="276" t="s">
        <v>319</v>
      </c>
      <c r="J17" s="293"/>
      <c r="L17" s="294"/>
      <c r="M17" s="295"/>
      <c r="N17" s="293"/>
      <c r="O17" s="293"/>
      <c r="Q17" s="295"/>
      <c r="R17" s="295"/>
      <c r="T17" s="295"/>
      <c r="X17" s="272" t="str">
        <f>I21</f>
        <v>BA</v>
      </c>
      <c r="Y17" s="273">
        <f t="shared" si="26"/>
        <v>10</v>
      </c>
      <c r="Z17" s="264">
        <f t="shared" si="21"/>
        <v>0.4</v>
      </c>
      <c r="AA17" s="263">
        <f t="shared" si="27"/>
        <v>0.15399999999999997</v>
      </c>
    </row>
    <row r="18" spans="1:27">
      <c r="A18" s="277" t="s">
        <v>314</v>
      </c>
      <c r="B18" s="278">
        <v>50</v>
      </c>
      <c r="C18" s="278">
        <v>28</v>
      </c>
      <c r="D18" s="279">
        <f>C18/B18</f>
        <v>0.56000000000000005</v>
      </c>
      <c r="E18" s="278">
        <f>(C18-(10%*F18))*(1-34%)</f>
        <v>14.519999999999998</v>
      </c>
      <c r="F18" s="278">
        <v>60</v>
      </c>
      <c r="G18" s="279">
        <f>E18/F18</f>
        <v>0.24199999999999997</v>
      </c>
      <c r="I18" s="277" t="s">
        <v>314</v>
      </c>
      <c r="J18" s="309">
        <v>0.1</v>
      </c>
      <c r="K18" s="310">
        <f>POWER(1+J18,5)</f>
        <v>1.6105100000000006</v>
      </c>
      <c r="L18" s="311">
        <v>0</v>
      </c>
      <c r="M18" s="312">
        <f>IF(L18=1,0,F18*K18)</f>
        <v>96.63060000000003</v>
      </c>
      <c r="N18" s="309">
        <f>D18</f>
        <v>0.56000000000000005</v>
      </c>
      <c r="O18" s="309">
        <f>J18</f>
        <v>0.1</v>
      </c>
      <c r="P18" s="310">
        <f t="shared" si="6"/>
        <v>1.6105100000000006</v>
      </c>
      <c r="Q18" s="312">
        <f>IF(M18=0,0,B18*P18)</f>
        <v>80.525500000000022</v>
      </c>
      <c r="R18" s="312">
        <f t="shared" si="7"/>
        <v>45.094280000000019</v>
      </c>
      <c r="S18" s="124">
        <f>N18</f>
        <v>0.56000000000000005</v>
      </c>
      <c r="T18" s="312">
        <f>(R18-(10%*M18))*(1-34%)</f>
        <v>23.38460520000001</v>
      </c>
      <c r="U18" s="124">
        <f>IF(M18=0,0,T18/M18)</f>
        <v>0.24200000000000002</v>
      </c>
    </row>
    <row r="19" spans="1:27">
      <c r="A19" s="277" t="s">
        <v>315</v>
      </c>
      <c r="B19" s="278">
        <v>60</v>
      </c>
      <c r="C19" s="278">
        <v>40</v>
      </c>
      <c r="D19" s="279">
        <f t="shared" ref="D19:D24" si="28">C19/B19</f>
        <v>0.66666666666666663</v>
      </c>
      <c r="E19" s="278">
        <f t="shared" ref="E19:E21" si="29">(C19-(10%*F19))*(1-34%)</f>
        <v>21.119999999999997</v>
      </c>
      <c r="F19" s="278">
        <v>80</v>
      </c>
      <c r="G19" s="279">
        <f t="shared" ref="G19:G24" si="30">E19/F19</f>
        <v>0.26399999999999996</v>
      </c>
      <c r="I19" s="277" t="s">
        <v>315</v>
      </c>
      <c r="J19" s="309">
        <v>0.1</v>
      </c>
      <c r="K19" s="310">
        <f>POWER(1+J19,5)</f>
        <v>1.6105100000000006</v>
      </c>
      <c r="L19" s="311">
        <v>0</v>
      </c>
      <c r="M19" s="312">
        <f>IF(L19=1,0,F19*K19)</f>
        <v>128.84080000000006</v>
      </c>
      <c r="N19" s="309">
        <f>D19</f>
        <v>0.66666666666666663</v>
      </c>
      <c r="O19" s="309">
        <f>J19</f>
        <v>0.1</v>
      </c>
      <c r="P19" s="310">
        <f t="shared" si="6"/>
        <v>1.6105100000000006</v>
      </c>
      <c r="Q19" s="312">
        <f>IF(M19=0,0,B19*P19)</f>
        <v>96.63060000000003</v>
      </c>
      <c r="R19" s="312">
        <f t="shared" si="7"/>
        <v>64.420400000000015</v>
      </c>
      <c r="S19" s="124">
        <f>N19</f>
        <v>0.66666666666666663</v>
      </c>
      <c r="T19" s="312">
        <f>(R19-(10%*M19))*(1-34%)</f>
        <v>34.0139712</v>
      </c>
      <c r="U19" s="124">
        <f>IF(M19=0,0,T19/M19)</f>
        <v>0.2639999999999999</v>
      </c>
    </row>
    <row r="20" spans="1:27">
      <c r="A20" s="277" t="s">
        <v>316</v>
      </c>
      <c r="B20" s="278">
        <v>40</v>
      </c>
      <c r="C20" s="278">
        <v>25</v>
      </c>
      <c r="D20" s="279">
        <f t="shared" si="28"/>
        <v>0.625</v>
      </c>
      <c r="E20" s="278">
        <f t="shared" si="29"/>
        <v>13.529999999999998</v>
      </c>
      <c r="F20" s="278">
        <v>45</v>
      </c>
      <c r="G20" s="279">
        <f t="shared" si="30"/>
        <v>0.30066666666666664</v>
      </c>
      <c r="I20" s="277" t="s">
        <v>316</v>
      </c>
      <c r="J20" s="309">
        <v>0.1</v>
      </c>
      <c r="K20" s="310">
        <f>POWER(1+J20,5)</f>
        <v>1.6105100000000006</v>
      </c>
      <c r="L20" s="311">
        <v>0</v>
      </c>
      <c r="M20" s="312">
        <f>IF(L20=1,0,F20*K20)</f>
        <v>72.472950000000026</v>
      </c>
      <c r="N20" s="309">
        <f>D20</f>
        <v>0.625</v>
      </c>
      <c r="O20" s="309">
        <f>J20</f>
        <v>0.1</v>
      </c>
      <c r="P20" s="310">
        <f t="shared" si="6"/>
        <v>1.6105100000000006</v>
      </c>
      <c r="Q20" s="312">
        <f>IF(M20=0,0,B20*P20)</f>
        <v>64.420400000000029</v>
      </c>
      <c r="R20" s="312">
        <f t="shared" si="7"/>
        <v>40.262750000000018</v>
      </c>
      <c r="S20" s="124">
        <f>N20</f>
        <v>0.625</v>
      </c>
      <c r="T20" s="312">
        <f>(R20-(10%*M20))*(1-34%)</f>
        <v>21.790200300000009</v>
      </c>
      <c r="U20" s="124">
        <f>IF(M20=0,0,T20/M20)</f>
        <v>0.30066666666666669</v>
      </c>
    </row>
    <row r="21" spans="1:27">
      <c r="A21" s="277" t="s">
        <v>317</v>
      </c>
      <c r="B21" s="278">
        <v>25</v>
      </c>
      <c r="C21" s="278">
        <v>10</v>
      </c>
      <c r="D21" s="279">
        <f t="shared" si="28"/>
        <v>0.4</v>
      </c>
      <c r="E21" s="278">
        <f t="shared" si="29"/>
        <v>4.6199999999999992</v>
      </c>
      <c r="F21" s="278">
        <v>30</v>
      </c>
      <c r="G21" s="279">
        <f t="shared" si="30"/>
        <v>0.15399999999999997</v>
      </c>
      <c r="I21" s="277" t="s">
        <v>317</v>
      </c>
      <c r="J21" s="309">
        <v>0.1</v>
      </c>
      <c r="K21" s="310">
        <f>POWER(1+J21,5)</f>
        <v>1.6105100000000006</v>
      </c>
      <c r="L21" s="311">
        <v>0</v>
      </c>
      <c r="M21" s="312">
        <f>IF(L21=1,0,F21*K21)</f>
        <v>48.315300000000015</v>
      </c>
      <c r="N21" s="309">
        <f>D21</f>
        <v>0.4</v>
      </c>
      <c r="O21" s="309">
        <f>J21</f>
        <v>0.1</v>
      </c>
      <c r="P21" s="310">
        <f t="shared" si="6"/>
        <v>1.6105100000000006</v>
      </c>
      <c r="Q21" s="312">
        <f>IF(M21=0,0,B21*P21)</f>
        <v>40.262750000000011</v>
      </c>
      <c r="R21" s="312">
        <f t="shared" si="7"/>
        <v>16.105100000000004</v>
      </c>
      <c r="S21" s="124">
        <f>N21</f>
        <v>0.4</v>
      </c>
      <c r="T21" s="312">
        <f>(R21-(10%*M21))*(1-34%)</f>
        <v>7.4405562000000014</v>
      </c>
      <c r="U21" s="124">
        <f>IF(M21=0,0,T21/M21)</f>
        <v>0.15399999999999997</v>
      </c>
    </row>
    <row r="22" spans="1:27">
      <c r="A22" s="280" t="s">
        <v>623</v>
      </c>
      <c r="B22" s="281">
        <f>SUM(B18:B21)</f>
        <v>175</v>
      </c>
      <c r="C22" s="281">
        <f t="shared" ref="C22" si="31">SUM(C18:C21)</f>
        <v>103</v>
      </c>
      <c r="D22" s="282">
        <f t="shared" si="28"/>
        <v>0.58857142857142852</v>
      </c>
      <c r="E22" s="281">
        <f t="shared" ref="E22:F22" si="32">SUM(E18:E21)</f>
        <v>53.789999999999985</v>
      </c>
      <c r="F22" s="281">
        <f t="shared" si="32"/>
        <v>215</v>
      </c>
      <c r="G22" s="282">
        <f t="shared" si="30"/>
        <v>0.25018604651162785</v>
      </c>
      <c r="I22" s="280" t="s">
        <v>623</v>
      </c>
      <c r="J22" s="313"/>
      <c r="K22" s="314"/>
      <c r="L22" s="313"/>
      <c r="M22" s="316">
        <f>SUM(M18:M21)</f>
        <v>346.25965000000014</v>
      </c>
      <c r="N22" s="317"/>
      <c r="O22" s="317"/>
      <c r="P22" s="314"/>
      <c r="Q22" s="316">
        <f t="shared" ref="Q22:R22" si="33">SUM(Q18:Q21)</f>
        <v>281.83925000000011</v>
      </c>
      <c r="R22" s="316">
        <f t="shared" si="33"/>
        <v>165.88253000000003</v>
      </c>
      <c r="S22" s="305">
        <f>R22/Q22</f>
        <v>0.58857142857142841</v>
      </c>
      <c r="T22" s="316">
        <f t="shared" ref="T22" si="34">SUM(T18:T21)</f>
        <v>86.629332900000023</v>
      </c>
      <c r="U22" s="305">
        <f>T22/M22</f>
        <v>0.2501860465116279</v>
      </c>
    </row>
    <row r="23" spans="1:27">
      <c r="M23" s="273"/>
    </row>
    <row r="24" spans="1:27" s="269" customFormat="1">
      <c r="A24" s="283" t="s">
        <v>259</v>
      </c>
      <c r="B24" s="284">
        <f>B8+B15+B22</f>
        <v>1095</v>
      </c>
      <c r="C24" s="284">
        <f>C8+C15+C22</f>
        <v>415</v>
      </c>
      <c r="D24" s="282">
        <f t="shared" si="28"/>
        <v>0.37899543378995432</v>
      </c>
      <c r="E24" s="284">
        <f>E8+E15+E22</f>
        <v>188.03399999999996</v>
      </c>
      <c r="F24" s="284">
        <f>F8+F15+F22</f>
        <v>1301</v>
      </c>
      <c r="G24" s="282">
        <f t="shared" si="30"/>
        <v>0.14453036126056876</v>
      </c>
      <c r="H24" s="266"/>
      <c r="I24" s="283" t="s">
        <v>259</v>
      </c>
      <c r="J24" s="298"/>
      <c r="K24" s="302"/>
      <c r="L24" s="298"/>
      <c r="M24" s="284">
        <f>M8+M15+M22</f>
        <v>1800.2533487500007</v>
      </c>
      <c r="N24" s="298"/>
      <c r="O24" s="298"/>
      <c r="P24" s="302"/>
      <c r="Q24" s="284">
        <f>Q8+Q15+Q22</f>
        <v>1478.7431968750002</v>
      </c>
      <c r="R24" s="284">
        <f>R8+R15+R22</f>
        <v>585.91662593750016</v>
      </c>
      <c r="S24" s="305">
        <f t="shared" ref="S24" si="35">R24/Q24</f>
        <v>0.3962260838634501</v>
      </c>
      <c r="T24" s="284">
        <f>T8+T15+T22</f>
        <v>267.88825210125003</v>
      </c>
      <c r="U24" s="305">
        <f>T24/M24</f>
        <v>0.14880586240112106</v>
      </c>
      <c r="V24" s="270"/>
      <c r="X24" s="272"/>
      <c r="Y24" s="270"/>
      <c r="Z24" s="270"/>
      <c r="AA24" s="318"/>
    </row>
    <row r="25" spans="1:27">
      <c r="M25" s="300"/>
      <c r="N25" s="299"/>
      <c r="O25" s="299"/>
    </row>
    <row r="33" spans="1:27">
      <c r="B33" s="274"/>
    </row>
    <row r="34" spans="1:27">
      <c r="A34" s="275"/>
      <c r="I34" s="275"/>
    </row>
    <row r="37" spans="1:27">
      <c r="A37" s="272" t="s">
        <v>620</v>
      </c>
      <c r="I37" s="272" t="s">
        <v>620</v>
      </c>
    </row>
    <row r="38" spans="1:27">
      <c r="B38" s="606">
        <v>2023</v>
      </c>
      <c r="C38" s="606"/>
      <c r="D38" s="606"/>
      <c r="E38" s="606"/>
      <c r="F38" s="606"/>
      <c r="G38" s="606"/>
      <c r="H38" s="288"/>
      <c r="J38" s="607" t="s">
        <v>615</v>
      </c>
      <c r="K38" s="607"/>
      <c r="L38" s="607"/>
      <c r="M38" s="607"/>
      <c r="N38" s="607"/>
      <c r="O38" s="607"/>
      <c r="P38" s="607"/>
      <c r="Q38" s="605">
        <f>B38+5</f>
        <v>2028</v>
      </c>
      <c r="R38" s="605"/>
      <c r="S38" s="605"/>
      <c r="T38" s="605"/>
      <c r="U38" s="605"/>
    </row>
    <row r="39" spans="1:27">
      <c r="A39" s="269" t="s">
        <v>312</v>
      </c>
      <c r="B39" s="285" t="s">
        <v>621</v>
      </c>
      <c r="C39" s="285" t="s">
        <v>133</v>
      </c>
      <c r="D39" s="286" t="s">
        <v>439</v>
      </c>
      <c r="E39" s="285" t="s">
        <v>9</v>
      </c>
      <c r="F39" s="285" t="s">
        <v>622</v>
      </c>
      <c r="G39" s="286" t="s">
        <v>6</v>
      </c>
      <c r="H39" s="266"/>
      <c r="I39" s="269" t="s">
        <v>312</v>
      </c>
      <c r="J39" s="603" t="s">
        <v>616</v>
      </c>
      <c r="K39" s="603"/>
      <c r="L39" s="303" t="s">
        <v>617</v>
      </c>
      <c r="M39" s="303" t="s">
        <v>622</v>
      </c>
      <c r="N39" s="286" t="s">
        <v>439</v>
      </c>
      <c r="O39" s="603" t="s">
        <v>625</v>
      </c>
      <c r="P39" s="603"/>
      <c r="Q39" s="284" t="s">
        <v>621</v>
      </c>
      <c r="R39" s="284" t="s">
        <v>133</v>
      </c>
      <c r="S39" s="305" t="s">
        <v>439</v>
      </c>
      <c r="T39" s="284" t="s">
        <v>9</v>
      </c>
      <c r="U39" s="305" t="s">
        <v>6</v>
      </c>
    </row>
    <row r="40" spans="1:27" ht="12.95" customHeight="1">
      <c r="A40" s="604" t="s">
        <v>313</v>
      </c>
      <c r="B40" s="604"/>
      <c r="C40" s="604"/>
      <c r="D40" s="604"/>
      <c r="E40" s="604"/>
      <c r="F40" s="604"/>
      <c r="G40" s="604"/>
      <c r="H40" s="289"/>
      <c r="I40" s="276" t="s">
        <v>624</v>
      </c>
      <c r="J40" s="306" t="s">
        <v>618</v>
      </c>
      <c r="K40" s="307" t="s">
        <v>298</v>
      </c>
      <c r="L40" s="319" t="s">
        <v>619</v>
      </c>
      <c r="M40" s="308">
        <f>Q38</f>
        <v>2028</v>
      </c>
      <c r="N40" s="306" t="s">
        <v>618</v>
      </c>
      <c r="O40" s="306" t="s">
        <v>618</v>
      </c>
      <c r="P40" s="307" t="s">
        <v>298</v>
      </c>
      <c r="Q40" s="290">
        <v>2</v>
      </c>
      <c r="R40" s="291">
        <v>4</v>
      </c>
      <c r="S40" s="292">
        <v>5</v>
      </c>
      <c r="T40" s="291">
        <v>12</v>
      </c>
      <c r="U40" s="292">
        <v>16</v>
      </c>
    </row>
    <row r="41" spans="1:27">
      <c r="A41" s="277" t="s">
        <v>314</v>
      </c>
      <c r="B41" s="278">
        <v>150</v>
      </c>
      <c r="C41" s="278">
        <v>75</v>
      </c>
      <c r="D41" s="279">
        <f>C41/B41</f>
        <v>0.5</v>
      </c>
      <c r="E41" s="278">
        <f>(C41-(10%*F41))*(1-34%)</f>
        <v>36.299999999999997</v>
      </c>
      <c r="F41" s="278">
        <v>200</v>
      </c>
      <c r="G41" s="279">
        <f>E41/F41</f>
        <v>0.18149999999999999</v>
      </c>
      <c r="I41" s="277" t="s">
        <v>314</v>
      </c>
      <c r="J41" s="309">
        <v>0.21</v>
      </c>
      <c r="K41" s="310">
        <f>POWER(1+J41,5)</f>
        <v>2.5937424600999996</v>
      </c>
      <c r="L41" s="320">
        <v>0</v>
      </c>
      <c r="M41" s="312">
        <f>IF(L41=1,0,F41*K41)</f>
        <v>518.74849201999996</v>
      </c>
      <c r="N41" s="309">
        <f>D41</f>
        <v>0.5</v>
      </c>
      <c r="O41" s="309">
        <f>J41</f>
        <v>0.21</v>
      </c>
      <c r="P41" s="310">
        <f>POWER(1+O41,5)</f>
        <v>2.5937424600999996</v>
      </c>
      <c r="Q41" s="312">
        <f>IF(M41=0,0,B41*P41)</f>
        <v>389.06136901499997</v>
      </c>
      <c r="R41" s="312">
        <f>S41*Q41</f>
        <v>194.53068450749998</v>
      </c>
      <c r="S41" s="124">
        <f>N41</f>
        <v>0.5</v>
      </c>
      <c r="T41" s="312">
        <f>(R41-(10%*M41))*(1-34%)</f>
        <v>94.15285130162998</v>
      </c>
      <c r="U41" s="124">
        <f>IF(M41=0,0,T41/M41)</f>
        <v>0.18149999999999997</v>
      </c>
    </row>
    <row r="42" spans="1:27">
      <c r="A42" s="277" t="s">
        <v>315</v>
      </c>
      <c r="B42" s="278">
        <v>100</v>
      </c>
      <c r="C42" s="278">
        <v>40</v>
      </c>
      <c r="D42" s="279">
        <f t="shared" ref="D42:D45" si="36">C42/B42</f>
        <v>0.4</v>
      </c>
      <c r="E42" s="278">
        <f t="shared" ref="E42:E44" si="37">(C42-(10%*F42))*(1-34%)</f>
        <v>19.799999999999997</v>
      </c>
      <c r="F42" s="278">
        <v>100</v>
      </c>
      <c r="G42" s="279">
        <f t="shared" ref="G42:G45" si="38">E42/F42</f>
        <v>0.19799999999999998</v>
      </c>
      <c r="I42" s="277" t="s">
        <v>315</v>
      </c>
      <c r="J42" s="309">
        <v>0.25</v>
      </c>
      <c r="K42" s="310">
        <f>POWER(1+J42,5)</f>
        <v>3.0517578125</v>
      </c>
      <c r="L42" s="320">
        <v>0</v>
      </c>
      <c r="M42" s="312">
        <f>IF(L42=1,0,F42*K42)</f>
        <v>305.17578125</v>
      </c>
      <c r="N42" s="309">
        <f>D42</f>
        <v>0.4</v>
      </c>
      <c r="O42" s="309">
        <f>J42</f>
        <v>0.25</v>
      </c>
      <c r="P42" s="310">
        <f t="shared" ref="P42:P58" si="39">POWER(1+O42,5)</f>
        <v>3.0517578125</v>
      </c>
      <c r="Q42" s="312">
        <f>IF(M42=0,0,B42*P42)</f>
        <v>305.17578125</v>
      </c>
      <c r="R42" s="312">
        <f t="shared" ref="R42:R58" si="40">S42*Q42</f>
        <v>122.0703125</v>
      </c>
      <c r="S42" s="124">
        <f>N42</f>
        <v>0.4</v>
      </c>
      <c r="T42" s="312">
        <f>(R42-(10%*M42))*(1-34%)</f>
        <v>60.424804687499993</v>
      </c>
      <c r="U42" s="124">
        <f>IF(M42=0,0,T42/M42)</f>
        <v>0.19799999999999998</v>
      </c>
    </row>
    <row r="43" spans="1:27">
      <c r="A43" s="277" t="s">
        <v>316</v>
      </c>
      <c r="B43" s="278">
        <v>30</v>
      </c>
      <c r="C43" s="278">
        <v>15</v>
      </c>
      <c r="D43" s="279">
        <f t="shared" si="36"/>
        <v>0.5</v>
      </c>
      <c r="E43" s="278">
        <f t="shared" si="37"/>
        <v>6.6</v>
      </c>
      <c r="F43" s="278">
        <v>50</v>
      </c>
      <c r="G43" s="279">
        <f t="shared" si="38"/>
        <v>0.13200000000000001</v>
      </c>
      <c r="I43" s="277" t="s">
        <v>316</v>
      </c>
      <c r="J43" s="309">
        <v>0.2</v>
      </c>
      <c r="K43" s="310">
        <f>POWER(1+J43,5)</f>
        <v>2.4883199999999999</v>
      </c>
      <c r="L43" s="320">
        <v>0</v>
      </c>
      <c r="M43" s="312">
        <f>IF(L43=1,0,F43*K43)</f>
        <v>124.416</v>
      </c>
      <c r="N43" s="309">
        <f>D43</f>
        <v>0.5</v>
      </c>
      <c r="O43" s="309">
        <f>J43</f>
        <v>0.2</v>
      </c>
      <c r="P43" s="310">
        <f t="shared" si="39"/>
        <v>2.4883199999999999</v>
      </c>
      <c r="Q43" s="312">
        <f>IF(M43=0,0,B43*P43)</f>
        <v>74.649599999999992</v>
      </c>
      <c r="R43" s="312">
        <f t="shared" si="40"/>
        <v>37.324799999999996</v>
      </c>
      <c r="S43" s="124">
        <f>N43</f>
        <v>0.5</v>
      </c>
      <c r="T43" s="312">
        <f>(R43-(10%*M43))*(1-34%)</f>
        <v>16.422911999999993</v>
      </c>
      <c r="U43" s="124">
        <f>IF(M43=0,0,T43/M43)</f>
        <v>0.13199999999999995</v>
      </c>
    </row>
    <row r="44" spans="1:27">
      <c r="A44" s="277" t="s">
        <v>317</v>
      </c>
      <c r="B44" s="278">
        <v>40</v>
      </c>
      <c r="C44" s="278">
        <v>10</v>
      </c>
      <c r="D44" s="279">
        <f t="shared" si="36"/>
        <v>0.25</v>
      </c>
      <c r="E44" s="278">
        <f t="shared" si="37"/>
        <v>3.2339999999999991</v>
      </c>
      <c r="F44" s="278">
        <v>51</v>
      </c>
      <c r="G44" s="279">
        <f t="shared" si="38"/>
        <v>6.3411764705882334E-2</v>
      </c>
      <c r="I44" s="277" t="s">
        <v>317</v>
      </c>
      <c r="J44" s="309">
        <v>7.0000000000000007E-2</v>
      </c>
      <c r="K44" s="310">
        <f>POWER(1+J44,5)</f>
        <v>1.4025517307000002</v>
      </c>
      <c r="L44" s="320">
        <v>0</v>
      </c>
      <c r="M44" s="312">
        <f>IF(L44=1,0,F44*K44)</f>
        <v>71.530138265700003</v>
      </c>
      <c r="N44" s="309">
        <f>D44</f>
        <v>0.25</v>
      </c>
      <c r="O44" s="309">
        <f>J44</f>
        <v>7.0000000000000007E-2</v>
      </c>
      <c r="P44" s="310">
        <f t="shared" si="39"/>
        <v>1.4025517307000002</v>
      </c>
      <c r="Q44" s="312">
        <f>IF(M44=0,0,B44*P44)</f>
        <v>56.102069228000005</v>
      </c>
      <c r="R44" s="312">
        <f t="shared" si="40"/>
        <v>14.025517307000001</v>
      </c>
      <c r="S44" s="124">
        <f>N44</f>
        <v>0.25</v>
      </c>
      <c r="T44" s="312">
        <f>(R44-(10%*M44))*(1-34%)</f>
        <v>4.5358522970837996</v>
      </c>
      <c r="U44" s="124">
        <f>IF(M44=0,0,T44/M44)</f>
        <v>6.3411764705882348E-2</v>
      </c>
    </row>
    <row r="45" spans="1:27" s="269" customFormat="1">
      <c r="A45" s="280" t="s">
        <v>623</v>
      </c>
      <c r="B45" s="281">
        <f>SUM(B41:B44)</f>
        <v>320</v>
      </c>
      <c r="C45" s="281">
        <f t="shared" ref="C45:F45" si="41">SUM(C41:C44)</f>
        <v>140</v>
      </c>
      <c r="D45" s="282">
        <f t="shared" si="36"/>
        <v>0.4375</v>
      </c>
      <c r="E45" s="281">
        <f t="shared" si="41"/>
        <v>65.933999999999997</v>
      </c>
      <c r="F45" s="281">
        <f t="shared" si="41"/>
        <v>401</v>
      </c>
      <c r="G45" s="282">
        <f t="shared" si="38"/>
        <v>0.16442394014962594</v>
      </c>
      <c r="H45" s="266"/>
      <c r="I45" s="280" t="s">
        <v>623</v>
      </c>
      <c r="J45" s="313"/>
      <c r="K45" s="314"/>
      <c r="L45" s="320"/>
      <c r="M45" s="316">
        <f>SUM(M41:M44)</f>
        <v>1019.8704115356999</v>
      </c>
      <c r="N45" s="313"/>
      <c r="O45" s="313"/>
      <c r="P45" s="314"/>
      <c r="Q45" s="316">
        <f t="shared" ref="Q45:R45" si="42">SUM(Q41:Q44)</f>
        <v>824.98881949299994</v>
      </c>
      <c r="R45" s="316">
        <f t="shared" si="42"/>
        <v>367.9513143145</v>
      </c>
      <c r="S45" s="305">
        <f>R45/Q45</f>
        <v>0.44600763746183358</v>
      </c>
      <c r="T45" s="316">
        <f t="shared" ref="T45" si="43">SUM(T41:T44)</f>
        <v>175.53642028621377</v>
      </c>
      <c r="U45" s="305">
        <f>T45/M45</f>
        <v>0.17211639665268319</v>
      </c>
      <c r="V45" s="270"/>
      <c r="Y45" s="270"/>
      <c r="Z45" s="270"/>
      <c r="AA45" s="318"/>
    </row>
    <row r="46" spans="1:27" s="269" customFormat="1">
      <c r="B46" s="265"/>
      <c r="C46" s="265"/>
      <c r="D46" s="266"/>
      <c r="E46" s="265"/>
      <c r="F46" s="265"/>
      <c r="G46" s="266"/>
      <c r="H46" s="266"/>
      <c r="J46" s="297"/>
      <c r="K46" s="301"/>
      <c r="L46" s="322"/>
      <c r="M46" s="295"/>
      <c r="N46" s="293"/>
      <c r="O46" s="293"/>
      <c r="P46" s="301"/>
      <c r="Q46" s="295"/>
      <c r="R46" s="295"/>
      <c r="S46" s="296"/>
      <c r="T46" s="295"/>
      <c r="U46" s="296"/>
      <c r="V46" s="270"/>
      <c r="Y46" s="270"/>
      <c r="Z46" s="270"/>
      <c r="AA46" s="318"/>
    </row>
    <row r="47" spans="1:27">
      <c r="A47" s="604" t="s">
        <v>318</v>
      </c>
      <c r="B47" s="604"/>
      <c r="C47" s="604"/>
      <c r="D47" s="604"/>
      <c r="E47" s="604"/>
      <c r="F47" s="604"/>
      <c r="G47" s="604"/>
      <c r="H47" s="289"/>
      <c r="I47" s="276" t="s">
        <v>318</v>
      </c>
      <c r="J47" s="293"/>
      <c r="L47" s="322"/>
      <c r="M47" s="295"/>
      <c r="N47" s="293"/>
      <c r="O47" s="293"/>
      <c r="Q47" s="295"/>
      <c r="R47" s="295"/>
      <c r="T47" s="295"/>
    </row>
    <row r="48" spans="1:27">
      <c r="A48" s="277" t="s">
        <v>314</v>
      </c>
      <c r="B48" s="278">
        <v>200</v>
      </c>
      <c r="C48" s="278">
        <v>50</v>
      </c>
      <c r="D48" s="279">
        <f>C48/B48</f>
        <v>0.25</v>
      </c>
      <c r="E48" s="278">
        <f>(C48-(10%*F48))*(1-34%)</f>
        <v>16.499999999999996</v>
      </c>
      <c r="F48" s="278">
        <v>250</v>
      </c>
      <c r="G48" s="279">
        <f>E48/F48</f>
        <v>6.5999999999999989E-2</v>
      </c>
      <c r="I48" s="277" t="s">
        <v>314</v>
      </c>
      <c r="J48" s="309">
        <v>0.05</v>
      </c>
      <c r="K48" s="310">
        <f>POWER(1+J48,5)</f>
        <v>1.2762815625000001</v>
      </c>
      <c r="L48" s="320">
        <v>1</v>
      </c>
      <c r="M48" s="312">
        <f>IF(L48=1,0,F48*K48)</f>
        <v>0</v>
      </c>
      <c r="N48" s="309">
        <f>D48</f>
        <v>0.25</v>
      </c>
      <c r="O48" s="309">
        <f>J48</f>
        <v>0.05</v>
      </c>
      <c r="P48" s="310">
        <f t="shared" si="39"/>
        <v>1.2762815625000001</v>
      </c>
      <c r="Q48" s="312">
        <f>IF(M48=0,0,B48*P48)</f>
        <v>0</v>
      </c>
      <c r="R48" s="312">
        <f t="shared" si="40"/>
        <v>0</v>
      </c>
      <c r="S48" s="124">
        <f>N48</f>
        <v>0.25</v>
      </c>
      <c r="T48" s="312">
        <f>(R48-(10%*M48))*(1-34%)</f>
        <v>0</v>
      </c>
      <c r="U48" s="124">
        <f>IF(M48=0,0,T48/M48)</f>
        <v>0</v>
      </c>
    </row>
    <row r="49" spans="1:21">
      <c r="A49" s="277" t="s">
        <v>315</v>
      </c>
      <c r="B49" s="278">
        <v>300</v>
      </c>
      <c r="C49" s="278">
        <v>100</v>
      </c>
      <c r="D49" s="279">
        <f t="shared" ref="D49:D52" si="44">C49/B49</f>
        <v>0.33333333333333331</v>
      </c>
      <c r="E49" s="278">
        <f t="shared" ref="E49:E51" si="45">(C49-(10%*F49))*(1-34%)</f>
        <v>49.499999999999993</v>
      </c>
      <c r="F49" s="278">
        <v>250</v>
      </c>
      <c r="G49" s="279">
        <f t="shared" ref="G49:G52" si="46">E49/F49</f>
        <v>0.19799999999999998</v>
      </c>
      <c r="I49" s="277" t="s">
        <v>315</v>
      </c>
      <c r="J49" s="309">
        <v>0</v>
      </c>
      <c r="K49" s="310">
        <f>POWER(1+J49,5)</f>
        <v>1</v>
      </c>
      <c r="L49" s="320">
        <v>0</v>
      </c>
      <c r="M49" s="312">
        <f>IF(L49=1,0,F49*K49)</f>
        <v>250</v>
      </c>
      <c r="N49" s="309">
        <f>D49</f>
        <v>0.33333333333333331</v>
      </c>
      <c r="O49" s="309">
        <f>J49</f>
        <v>0</v>
      </c>
      <c r="P49" s="310">
        <f t="shared" si="39"/>
        <v>1</v>
      </c>
      <c r="Q49" s="312">
        <f>IF(M49=0,0,B49*P49)</f>
        <v>300</v>
      </c>
      <c r="R49" s="312">
        <f t="shared" si="40"/>
        <v>100</v>
      </c>
      <c r="S49" s="124">
        <f>N49</f>
        <v>0.33333333333333331</v>
      </c>
      <c r="T49" s="312">
        <f>(R49-(10%*M49))*(1-34%)</f>
        <v>49.499999999999993</v>
      </c>
      <c r="U49" s="124">
        <f>IF(M49=0,0,T49/M49)</f>
        <v>0.19799999999999998</v>
      </c>
    </row>
    <row r="50" spans="1:21">
      <c r="A50" s="277" t="s">
        <v>316</v>
      </c>
      <c r="B50" s="278">
        <v>50</v>
      </c>
      <c r="C50" s="278">
        <v>12</v>
      </c>
      <c r="D50" s="279">
        <f t="shared" si="44"/>
        <v>0.24</v>
      </c>
      <c r="E50" s="278">
        <f t="shared" si="45"/>
        <v>1.3199999999999998</v>
      </c>
      <c r="F50" s="278">
        <v>100</v>
      </c>
      <c r="G50" s="279">
        <f t="shared" si="46"/>
        <v>1.3199999999999998E-2</v>
      </c>
      <c r="I50" s="277" t="s">
        <v>316</v>
      </c>
      <c r="J50" s="309">
        <v>0.05</v>
      </c>
      <c r="K50" s="310">
        <f>POWER(1+J50,5)</f>
        <v>1.2762815625000001</v>
      </c>
      <c r="L50" s="320">
        <v>1</v>
      </c>
      <c r="M50" s="312">
        <f>IF(L50=1,0,F50*K50)</f>
        <v>0</v>
      </c>
      <c r="N50" s="309">
        <f>D50</f>
        <v>0.24</v>
      </c>
      <c r="O50" s="309">
        <f>J50</f>
        <v>0.05</v>
      </c>
      <c r="P50" s="310">
        <f t="shared" si="39"/>
        <v>1.2762815625000001</v>
      </c>
      <c r="Q50" s="312">
        <f>IF(M50=0,0,B50*P50)</f>
        <v>0</v>
      </c>
      <c r="R50" s="312">
        <f t="shared" si="40"/>
        <v>0</v>
      </c>
      <c r="S50" s="124">
        <f>N50</f>
        <v>0.24</v>
      </c>
      <c r="T50" s="312">
        <f>(R50-(10%*M50))*(1-34%)</f>
        <v>0</v>
      </c>
      <c r="U50" s="124">
        <f>IF(M50=0,0,T50/M50)</f>
        <v>0</v>
      </c>
    </row>
    <row r="51" spans="1:21">
      <c r="A51" s="277" t="s">
        <v>317</v>
      </c>
      <c r="B51" s="278">
        <v>50</v>
      </c>
      <c r="C51" s="278">
        <v>10</v>
      </c>
      <c r="D51" s="279">
        <f t="shared" si="44"/>
        <v>0.2</v>
      </c>
      <c r="E51" s="278">
        <f t="shared" si="45"/>
        <v>0.98999999999999988</v>
      </c>
      <c r="F51" s="278">
        <v>85</v>
      </c>
      <c r="G51" s="279">
        <f t="shared" si="46"/>
        <v>1.164705882352941E-2</v>
      </c>
      <c r="I51" s="277" t="s">
        <v>317</v>
      </c>
      <c r="J51" s="309">
        <v>0.05</v>
      </c>
      <c r="K51" s="310">
        <f>POWER(1+J51,5)</f>
        <v>1.2762815625000001</v>
      </c>
      <c r="L51" s="320">
        <v>1</v>
      </c>
      <c r="M51" s="312">
        <f>IF(L51=1,0,F51*K51)</f>
        <v>0</v>
      </c>
      <c r="N51" s="309">
        <f>D51</f>
        <v>0.2</v>
      </c>
      <c r="O51" s="309">
        <f>J51</f>
        <v>0.05</v>
      </c>
      <c r="P51" s="310">
        <f t="shared" si="39"/>
        <v>1.2762815625000001</v>
      </c>
      <c r="Q51" s="312">
        <f>IF(M51=0,0,B51*P51)</f>
        <v>0</v>
      </c>
      <c r="R51" s="312">
        <f t="shared" si="40"/>
        <v>0</v>
      </c>
      <c r="S51" s="124">
        <f>N51</f>
        <v>0.2</v>
      </c>
      <c r="T51" s="312">
        <f>(R51-(10%*M51))*(1-34%)</f>
        <v>0</v>
      </c>
      <c r="U51" s="124">
        <f>IF(M51=0,0,T51/M51)</f>
        <v>0</v>
      </c>
    </row>
    <row r="52" spans="1:21">
      <c r="A52" s="280" t="s">
        <v>623</v>
      </c>
      <c r="B52" s="278">
        <f>SUM(B48:B51)</f>
        <v>600</v>
      </c>
      <c r="C52" s="278">
        <f t="shared" ref="C52" si="47">SUM(C48:C51)</f>
        <v>172</v>
      </c>
      <c r="D52" s="279">
        <f t="shared" si="44"/>
        <v>0.28666666666666668</v>
      </c>
      <c r="E52" s="278">
        <f t="shared" ref="E52:F52" si="48">SUM(E48:E51)</f>
        <v>68.309999999999974</v>
      </c>
      <c r="F52" s="278">
        <f t="shared" si="48"/>
        <v>685</v>
      </c>
      <c r="G52" s="279">
        <f t="shared" si="46"/>
        <v>9.9722627737226233E-2</v>
      </c>
      <c r="I52" s="280" t="s">
        <v>623</v>
      </c>
      <c r="J52" s="313"/>
      <c r="K52" s="314"/>
      <c r="L52" s="320"/>
      <c r="M52" s="316">
        <f>SUM(M48:M51)</f>
        <v>250</v>
      </c>
      <c r="N52" s="313"/>
      <c r="O52" s="313"/>
      <c r="P52" s="314"/>
      <c r="Q52" s="316">
        <f t="shared" ref="Q52:R52" si="49">SUM(Q48:Q51)</f>
        <v>300</v>
      </c>
      <c r="R52" s="316">
        <f t="shared" si="49"/>
        <v>100</v>
      </c>
      <c r="S52" s="305">
        <f>R52/Q52</f>
        <v>0.33333333333333331</v>
      </c>
      <c r="T52" s="316">
        <f t="shared" ref="T52" si="50">SUM(T48:T51)</f>
        <v>49.499999999999993</v>
      </c>
      <c r="U52" s="305">
        <f>T52/M52</f>
        <v>0.19799999999999998</v>
      </c>
    </row>
    <row r="53" spans="1:21">
      <c r="B53" s="262"/>
      <c r="C53" s="262"/>
      <c r="E53" s="262"/>
      <c r="F53" s="262"/>
      <c r="J53" s="297"/>
      <c r="L53" s="322"/>
      <c r="M53" s="295"/>
      <c r="N53" s="293"/>
      <c r="O53" s="293"/>
      <c r="Q53" s="295"/>
      <c r="R53" s="295"/>
      <c r="T53" s="295"/>
    </row>
    <row r="54" spans="1:21">
      <c r="A54" s="604" t="s">
        <v>319</v>
      </c>
      <c r="B54" s="604"/>
      <c r="C54" s="604"/>
      <c r="D54" s="604"/>
      <c r="E54" s="604"/>
      <c r="F54" s="604"/>
      <c r="G54" s="604"/>
      <c r="H54" s="289"/>
      <c r="I54" s="276" t="s">
        <v>319</v>
      </c>
      <c r="J54" s="293"/>
      <c r="L54" s="322"/>
      <c r="M54" s="295"/>
      <c r="N54" s="293"/>
      <c r="O54" s="293"/>
      <c r="Q54" s="295"/>
      <c r="R54" s="295"/>
      <c r="T54" s="295"/>
    </row>
    <row r="55" spans="1:21">
      <c r="A55" s="277" t="s">
        <v>314</v>
      </c>
      <c r="B55" s="278">
        <v>50</v>
      </c>
      <c r="C55" s="278">
        <v>28</v>
      </c>
      <c r="D55" s="279">
        <f>C55/B55</f>
        <v>0.56000000000000005</v>
      </c>
      <c r="E55" s="278">
        <f>(C55-(10%*F55))*(1-34%)</f>
        <v>14.519999999999998</v>
      </c>
      <c r="F55" s="278">
        <v>60</v>
      </c>
      <c r="G55" s="279">
        <f>E55/F55</f>
        <v>0.24199999999999997</v>
      </c>
      <c r="I55" s="277" t="s">
        <v>314</v>
      </c>
      <c r="J55" s="309">
        <v>0.2</v>
      </c>
      <c r="K55" s="310">
        <f>POWER(1+J55,5)</f>
        <v>2.4883199999999999</v>
      </c>
      <c r="L55" s="320">
        <v>0</v>
      </c>
      <c r="M55" s="312">
        <f>IF(L55=1,0,F55*K55)</f>
        <v>149.29919999999998</v>
      </c>
      <c r="N55" s="309">
        <f>D55</f>
        <v>0.56000000000000005</v>
      </c>
      <c r="O55" s="309">
        <f>J55</f>
        <v>0.2</v>
      </c>
      <c r="P55" s="310">
        <f t="shared" si="39"/>
        <v>2.4883199999999999</v>
      </c>
      <c r="Q55" s="312">
        <f>IF(M55=0,0,B55*P55)</f>
        <v>124.416</v>
      </c>
      <c r="R55" s="312">
        <f t="shared" si="40"/>
        <v>69.672960000000003</v>
      </c>
      <c r="S55" s="124">
        <f>N55</f>
        <v>0.56000000000000005</v>
      </c>
      <c r="T55" s="312">
        <f>(R55-(10%*M55))*(1-34%)</f>
        <v>36.130406399999998</v>
      </c>
      <c r="U55" s="124">
        <f>IF(M55=0,0,T55/M55)</f>
        <v>0.24200000000000002</v>
      </c>
    </row>
    <row r="56" spans="1:21">
      <c r="A56" s="277" t="s">
        <v>315</v>
      </c>
      <c r="B56" s="278">
        <v>60</v>
      </c>
      <c r="C56" s="278">
        <v>40</v>
      </c>
      <c r="D56" s="279">
        <f t="shared" ref="D56:D61" si="51">C56/B56</f>
        <v>0.66666666666666663</v>
      </c>
      <c r="E56" s="278">
        <f t="shared" ref="E56:E58" si="52">(C56-(10%*F56))*(1-34%)</f>
        <v>21.119999999999997</v>
      </c>
      <c r="F56" s="278">
        <v>80</v>
      </c>
      <c r="G56" s="279">
        <f t="shared" ref="G56:G61" si="53">E56/F56</f>
        <v>0.26399999999999996</v>
      </c>
      <c r="I56" s="277" t="s">
        <v>315</v>
      </c>
      <c r="J56" s="309">
        <v>0.25</v>
      </c>
      <c r="K56" s="310">
        <f>POWER(1+J56,5)</f>
        <v>3.0517578125</v>
      </c>
      <c r="L56" s="320">
        <v>0</v>
      </c>
      <c r="M56" s="312">
        <f>IF(L56=1,0,F56*K56)</f>
        <v>244.140625</v>
      </c>
      <c r="N56" s="309">
        <f>D56</f>
        <v>0.66666666666666663</v>
      </c>
      <c r="O56" s="309">
        <f>J56</f>
        <v>0.25</v>
      </c>
      <c r="P56" s="310">
        <f t="shared" si="39"/>
        <v>3.0517578125</v>
      </c>
      <c r="Q56" s="312">
        <f>IF(M56=0,0,B56*P56)</f>
        <v>183.10546875</v>
      </c>
      <c r="R56" s="312">
        <f t="shared" si="40"/>
        <v>122.0703125</v>
      </c>
      <c r="S56" s="124">
        <f>N56</f>
        <v>0.66666666666666663</v>
      </c>
      <c r="T56" s="312">
        <f>(R56-(10%*M56))*(1-34%)</f>
        <v>64.453124999999986</v>
      </c>
      <c r="U56" s="124">
        <f>IF(M56=0,0,T56/M56)</f>
        <v>0.26399999999999996</v>
      </c>
    </row>
    <row r="57" spans="1:21">
      <c r="A57" s="277" t="s">
        <v>316</v>
      </c>
      <c r="B57" s="278">
        <v>40</v>
      </c>
      <c r="C57" s="278">
        <v>25</v>
      </c>
      <c r="D57" s="279">
        <f t="shared" si="51"/>
        <v>0.625</v>
      </c>
      <c r="E57" s="278">
        <f t="shared" si="52"/>
        <v>13.529999999999998</v>
      </c>
      <c r="F57" s="278">
        <v>45</v>
      </c>
      <c r="G57" s="279">
        <f t="shared" si="53"/>
        <v>0.30066666666666664</v>
      </c>
      <c r="I57" s="277" t="s">
        <v>316</v>
      </c>
      <c r="J57" s="309">
        <v>0.25</v>
      </c>
      <c r="K57" s="310">
        <f>POWER(1+J57,5)</f>
        <v>3.0517578125</v>
      </c>
      <c r="L57" s="320">
        <v>0</v>
      </c>
      <c r="M57" s="312">
        <f>IF(L57=1,0,F57*K57)</f>
        <v>137.3291015625</v>
      </c>
      <c r="N57" s="309">
        <f>D57</f>
        <v>0.625</v>
      </c>
      <c r="O57" s="309">
        <f>J57</f>
        <v>0.25</v>
      </c>
      <c r="P57" s="310">
        <f t="shared" si="39"/>
        <v>3.0517578125</v>
      </c>
      <c r="Q57" s="312">
        <f>IF(M57=0,0,B57*P57)</f>
        <v>122.0703125</v>
      </c>
      <c r="R57" s="312">
        <f t="shared" si="40"/>
        <v>76.2939453125</v>
      </c>
      <c r="S57" s="124">
        <f>N57</f>
        <v>0.625</v>
      </c>
      <c r="T57" s="312">
        <f>(R57-(10%*M57))*(1-34%)</f>
        <v>41.290283203124993</v>
      </c>
      <c r="U57" s="124">
        <f>IF(M57=0,0,T57/M57)</f>
        <v>0.30066666666666664</v>
      </c>
    </row>
    <row r="58" spans="1:21">
      <c r="A58" s="277" t="s">
        <v>317</v>
      </c>
      <c r="B58" s="278">
        <v>25</v>
      </c>
      <c r="C58" s="278">
        <v>10</v>
      </c>
      <c r="D58" s="279">
        <f t="shared" si="51"/>
        <v>0.4</v>
      </c>
      <c r="E58" s="278">
        <f t="shared" si="52"/>
        <v>4.6199999999999992</v>
      </c>
      <c r="F58" s="278">
        <v>30</v>
      </c>
      <c r="G58" s="279">
        <f t="shared" si="53"/>
        <v>0.15399999999999997</v>
      </c>
      <c r="I58" s="277" t="s">
        <v>317</v>
      </c>
      <c r="J58" s="309">
        <v>0.25</v>
      </c>
      <c r="K58" s="310">
        <f>POWER(1+J58,5)</f>
        <v>3.0517578125</v>
      </c>
      <c r="L58" s="320">
        <v>1</v>
      </c>
      <c r="M58" s="312">
        <f>IF(L58=1,0,F58*K58)</f>
        <v>0</v>
      </c>
      <c r="N58" s="309">
        <f>D58</f>
        <v>0.4</v>
      </c>
      <c r="O58" s="309">
        <f>J58</f>
        <v>0.25</v>
      </c>
      <c r="P58" s="310">
        <f t="shared" si="39"/>
        <v>3.0517578125</v>
      </c>
      <c r="Q58" s="312">
        <f>IF(M58=0,0,B58*P58)</f>
        <v>0</v>
      </c>
      <c r="R58" s="312">
        <f t="shared" si="40"/>
        <v>0</v>
      </c>
      <c r="S58" s="124">
        <f>N58</f>
        <v>0.4</v>
      </c>
      <c r="T58" s="312">
        <f>(R58-(10%*M58))*(1-34%)</f>
        <v>0</v>
      </c>
      <c r="U58" s="124">
        <f>IF(M58=0,0,T58/M58)</f>
        <v>0</v>
      </c>
    </row>
    <row r="59" spans="1:21">
      <c r="A59" s="280" t="s">
        <v>623</v>
      </c>
      <c r="B59" s="278">
        <f>SUM(B55:B58)</f>
        <v>175</v>
      </c>
      <c r="C59" s="278">
        <f t="shared" ref="C59" si="54">SUM(C55:C58)</f>
        <v>103</v>
      </c>
      <c r="D59" s="279">
        <f t="shared" si="51"/>
        <v>0.58857142857142852</v>
      </c>
      <c r="E59" s="278">
        <f t="shared" ref="E59:F59" si="55">SUM(E55:E58)</f>
        <v>53.789999999999985</v>
      </c>
      <c r="F59" s="278">
        <f t="shared" si="55"/>
        <v>215</v>
      </c>
      <c r="G59" s="279">
        <f t="shared" si="53"/>
        <v>0.25018604651162785</v>
      </c>
      <c r="I59" s="280" t="s">
        <v>623</v>
      </c>
      <c r="J59" s="313"/>
      <c r="K59" s="314"/>
      <c r="L59" s="321"/>
      <c r="M59" s="316">
        <f>SUM(M55:M58)</f>
        <v>530.76892656249993</v>
      </c>
      <c r="N59" s="317"/>
      <c r="O59" s="317"/>
      <c r="P59" s="314"/>
      <c r="Q59" s="316">
        <f t="shared" ref="Q59:R59" si="56">SUM(Q55:Q58)</f>
        <v>429.59178125</v>
      </c>
      <c r="R59" s="316">
        <f t="shared" si="56"/>
        <v>268.03721781249999</v>
      </c>
      <c r="S59" s="305">
        <f>R59/Q59</f>
        <v>0.62393469687101932</v>
      </c>
      <c r="T59" s="316">
        <f t="shared" ref="T59" si="57">SUM(T55:T58)</f>
        <v>141.87381460312497</v>
      </c>
      <c r="U59" s="305">
        <f>T59/M59</f>
        <v>0.26729864448162799</v>
      </c>
    </row>
    <row r="60" spans="1:21">
      <c r="M60" s="273"/>
    </row>
    <row r="61" spans="1:21">
      <c r="A61" s="283" t="s">
        <v>259</v>
      </c>
      <c r="B61" s="284">
        <f>B45+B52+B59</f>
        <v>1095</v>
      </c>
      <c r="C61" s="284">
        <f>C45+C52+C59</f>
        <v>415</v>
      </c>
      <c r="D61" s="282">
        <f t="shared" si="51"/>
        <v>0.37899543378995432</v>
      </c>
      <c r="E61" s="284">
        <f>E45+E52+E59</f>
        <v>188.03399999999996</v>
      </c>
      <c r="F61" s="284">
        <f>F45+F52+F59</f>
        <v>1301</v>
      </c>
      <c r="G61" s="282">
        <f t="shared" si="53"/>
        <v>0.14453036126056876</v>
      </c>
      <c r="H61" s="266"/>
      <c r="I61" s="283" t="s">
        <v>259</v>
      </c>
      <c r="J61" s="298"/>
      <c r="K61" s="302"/>
      <c r="L61" s="298"/>
      <c r="M61" s="284">
        <f>M45+M52+M59</f>
        <v>1800.6393380981999</v>
      </c>
      <c r="N61" s="298"/>
      <c r="O61" s="298"/>
      <c r="P61" s="302"/>
      <c r="Q61" s="284">
        <f>Q45+Q52+Q59</f>
        <v>1554.5806007429999</v>
      </c>
      <c r="R61" s="284">
        <f>R45+R52+R59</f>
        <v>735.98853212699998</v>
      </c>
      <c r="S61" s="305">
        <f t="shared" ref="S61" si="58">R61/Q61</f>
        <v>0.47343221173301653</v>
      </c>
      <c r="T61" s="284">
        <f>T45+T52+T59</f>
        <v>366.91023488933877</v>
      </c>
      <c r="U61" s="305">
        <f>T61/M61</f>
        <v>0.20376664395039942</v>
      </c>
    </row>
    <row r="62" spans="1:21">
      <c r="M62" s="300"/>
      <c r="N62" s="299"/>
      <c r="O62" s="299"/>
    </row>
    <row r="70" spans="2:2">
      <c r="B70" s="274"/>
    </row>
  </sheetData>
  <mergeCells count="16">
    <mergeCell ref="Q1:U1"/>
    <mergeCell ref="J2:K2"/>
    <mergeCell ref="O2:P2"/>
    <mergeCell ref="B38:G38"/>
    <mergeCell ref="J38:P38"/>
    <mergeCell ref="Q38:U38"/>
    <mergeCell ref="A3:G3"/>
    <mergeCell ref="A10:G10"/>
    <mergeCell ref="A17:G17"/>
    <mergeCell ref="B1:G1"/>
    <mergeCell ref="J1:P1"/>
    <mergeCell ref="J39:K39"/>
    <mergeCell ref="O39:P39"/>
    <mergeCell ref="A40:G40"/>
    <mergeCell ref="A47:G47"/>
    <mergeCell ref="A54:G54"/>
  </mergeCells>
  <pageMargins left="0.51" right="0.51" top="0.79000000000000015" bottom="0.79000000000000015" header="0.31" footer="0.31"/>
  <pageSetup paperSize="9" scale="58" orientation="landscape" horizontalDpi="4294967292" verticalDpi="429496729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26</vt:i4>
      </vt:variant>
      <vt:variant>
        <vt:lpstr>Intervalos Nomeados</vt:lpstr>
      </vt:variant>
      <vt:variant>
        <vt:i4>2</vt:i4>
      </vt:variant>
    </vt:vector>
  </HeadingPairs>
  <TitlesOfParts>
    <vt:vector size="28" baseType="lpstr">
      <vt:lpstr>Indice</vt:lpstr>
      <vt:lpstr>Cap 2 - Droganet</vt:lpstr>
      <vt:lpstr>Cap 2 - Topázio</vt:lpstr>
      <vt:lpstr>Cap 4  - M&amp;M</vt:lpstr>
      <vt:lpstr>Cap 5 - Elektra</vt:lpstr>
      <vt:lpstr>Cap 5 - WACC</vt:lpstr>
      <vt:lpstr>Cap 6 - Kilimanjaro</vt:lpstr>
      <vt:lpstr>Cap 6 - Districom</vt:lpstr>
      <vt:lpstr>Cap 7 - Polaris</vt:lpstr>
      <vt:lpstr>Cap 8 -Moinho</vt:lpstr>
      <vt:lpstr>Cap 9 - Icaraí</vt:lpstr>
      <vt:lpstr>Cap 10 Vegas 1</vt:lpstr>
      <vt:lpstr>Cap 10 Vegas 2</vt:lpstr>
      <vt:lpstr>Cap 10 Vegas 3</vt:lpstr>
      <vt:lpstr>Cap 10 Vegas 4</vt:lpstr>
      <vt:lpstr>Cap 10 Vegas 5</vt:lpstr>
      <vt:lpstr>Cap 10 Vegas 6</vt:lpstr>
      <vt:lpstr>Cap 10 Vegas 7</vt:lpstr>
      <vt:lpstr>Cap 10 Vegas 8</vt:lpstr>
      <vt:lpstr>Cap 10 Vegas 9</vt:lpstr>
      <vt:lpstr>Cap 10 Vegas 10</vt:lpstr>
      <vt:lpstr>Cap 10 Vegas 11</vt:lpstr>
      <vt:lpstr>Cap 10 Caso Quatá 1</vt:lpstr>
      <vt:lpstr>Cap 10 Caso Quatá 2</vt:lpstr>
      <vt:lpstr>Cap 10 Caso Quatá 3</vt:lpstr>
      <vt:lpstr>Cap 10 Caso Quatá 4</vt:lpstr>
      <vt:lpstr>'Cap 5 - WACC'!Area_de_impressao</vt:lpstr>
      <vt:lpstr>'Cap 6 - Districom'!Area_de_impressao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Mauricio Carvalho</dc:creator>
  <cp:lastModifiedBy>Mauricio Rocha A. Carvalho | Aware MFO</cp:lastModifiedBy>
  <cp:lastPrinted>2023-12-11T14:28:01Z</cp:lastPrinted>
  <dcterms:created xsi:type="dcterms:W3CDTF">2019-11-02T14:31:18Z</dcterms:created>
  <dcterms:modified xsi:type="dcterms:W3CDTF">2025-06-26T15:56:44Z</dcterms:modified>
</cp:coreProperties>
</file>